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<sst xmlns="http://schemas.openxmlformats.org/spreadsheetml/2006/main" count="1519" uniqueCount="1019">
  <si>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</si>
  <si>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</si>
  <si>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</si>
  <si>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</si>
  <si>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</si>
  <si>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</si>
  <si>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</si>
  <si>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</si>
  <si>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</si>
  <si>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</si>
  <si>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</si>
  <si>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</si>
  <si>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</si>
  <si>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</si>
  <si>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</si>
  <si>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</si>
  <si>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</si>
  <si>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</si>
  <si>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</si>
  <si>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</si>
  <si>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</si>
  <si>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</si>
  <si>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</si>
  <si>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</si>
  <si>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</si>
  <si>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</si>
  <si>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</si>
  <si>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</si>
  <si>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</si>
  <si>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</si>
  <si>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</si>
  <si>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</si>
  <si>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</si>
  <si>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</si>
  <si>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</si>
  <si>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</si>
  <si>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</si>
  <si>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</si>
  <si>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</si>
  <si>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</si>
  <si>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</si>
  <si>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</si>
  <si>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</si>
  <si>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</si>
  <si>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</si>
  <si>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</si>
  <si>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</si>
  <si>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</si>
  <si>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</si>
  <si>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</si>
  <si>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</si>
  <si>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</si>
  <si>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</si>
  <si>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</si>
  <si>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</si>
  <si>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</si>
  <si>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</si>
  <si>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</si>
  <si>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</si>
  <si>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</si>
  <si>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</si>
  <si>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</si>
  <si>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</si>
  <si>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</si>
  <si>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</si>
  <si>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</si>
  <si>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</si>
  <si>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</si>
  <si>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</si>
  <si>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</si>
  <si>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</si>
  <si>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</si>
  <si>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</si>
  <si>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</si>
  <si>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</si>
  <si>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</si>
  <si>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</si>
  <si>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</si>
  <si>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</si>
  <si>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</si>
  <si>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</si>
  <si>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</si>
  <si>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</si>
  <si>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</si>
  <si>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</si>
  <si>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</si>
  <si>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</si>
  <si>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</si>
  <si>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</si>
  <si>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</si>
  <si>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</si>
  <si>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</si>
  <si>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</si>
  <si>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</si>
  <si>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</si>
  <si>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</si>
  <si>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</si>
  <si>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</si>
  <si>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</si>
  <si>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</si>
  <si>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</si>
  <si>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</si>
  <si>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</si>
  <si>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</si>
  <si>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</si>
  <si>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</si>
  <si>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</si>
  <si>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</si>
  <si>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</si>
  <si>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</si>
  <si>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</si>
  <si>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</si>
  <si>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</si>
  <si>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</si>
  <si>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</si>
  <si>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</si>
  <si>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</si>
  <si>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</si>
  <si>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</si>
  <si>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</si>
  <si>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</si>
  <si>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</si>
  <si>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</si>
  <si>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</si>
  <si>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</si>
  <si>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</si>
  <si>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</si>
  <si>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</si>
  <si>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</si>
  <si>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</si>
  <si>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</si>
  <si>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</si>
  <si>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</si>
  <si>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</si>
  <si>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</si>
  <si>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</si>
  <si>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</si>
  <si>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</si>
  <si>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</si>
  <si>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</si>
  <si>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</si>
  <si>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</si>
  <si>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</si>
  <si>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</si>
  <si>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</si>
  <si>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</si>
  <si>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</si>
  <si>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</si>
  <si>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</si>
  <si>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</si>
  <si>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</si>
  <si>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</si>
  <si>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</si>
  <si>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</si>
  <si>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</si>
  <si>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</si>
  <si>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</si>
  <si>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</si>
  <si>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</si>
  <si>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</si>
  <si>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</si>
  <si>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</si>
  <si>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</si>
  <si>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</si>
  <si>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</si>
  <si>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</si>
  <si>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</si>
  <si>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</si>
  <si>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</si>
  <si>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</si>
  <si>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</si>
  <si>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</si>
  <si>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</si>
  <si>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</si>
  <si>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</si>
  <si>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</si>
  <si>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</si>
  <si>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</si>
  <si>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</si>
  <si>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</si>
  <si>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</si>
  <si>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</si>
  <si>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</si>
  <si>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</si>
  <si>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</si>
  <si>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</si>
  <si>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</si>
  <si>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</si>
  <si>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</si>
  <si>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</si>
  <si>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</si>
  <si>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</si>
  <si>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</si>
  <si>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</si>
  <si>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</si>
  <si>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</si>
  <si>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</si>
  <si>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</si>
  <si>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</si>
  <si>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</si>
  <si>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</si>
  <si>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</si>
  <si>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</si>
  <si>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</si>
  <si>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</si>
  <si>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</si>
  <si>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</si>
  <si>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</si>
  <si>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</si>
  <si>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</si>
  <si>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</si>
  <si>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</si>
  <si>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</si>
  <si>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</si>
  <si>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</si>
  <si>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</si>
  <si>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</si>
  <si>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</si>
  <si>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</si>
  <si>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</si>
  <si>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</si>
  <si>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</si>
  <si>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</si>
  <si>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</si>
  <si>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</si>
  <si>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</si>
  <si>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</si>
  <si>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</si>
  <si>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</si>
  <si>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</si>
  <si>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</si>
  <si>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</si>
  <si>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</si>
  <si>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</si>
  <si>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</si>
  <si>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</si>
  <si>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</si>
  <si>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</si>
  <si>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</si>
  <si>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</si>
  <si>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</si>
  <si>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</si>
  <si>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</si>
  <si>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</si>
  <si>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</si>
  <si>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</si>
  <si>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</si>
  <si>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</si>
  <si>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</si>
  <si>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</si>
  <si>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</si>
  <si>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</si>
  <si>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</si>
  <si>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</si>
  <si>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</si>
  <si>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</si>
  <si>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</si>
  <si>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</si>
  <si>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</si>
  <si>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</si>
  <si>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</si>
  <si>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</si>
  <si>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</si>
  <si>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</si>
  <si>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</si>
  <si>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</si>
  <si>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</si>
  <si>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</si>
  <si>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</si>
  <si>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</si>
  <si>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</si>
  <si>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</si>
  <si>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</si>
  <si>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</si>
  <si>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</si>
  <si>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</si>
  <si>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</si>
  <si>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</si>
  <si>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</si>
  <si>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</si>
  <si>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</si>
  <si>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</si>
  <si>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</si>
  <si>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</si>
  <si>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</si>
  <si>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</si>
  <si>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</si>
  <si>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</si>
  <si>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</si>
  <si>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</si>
  <si>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</si>
  <si>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</si>
  <si>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</si>
  <si>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</si>
  <si>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</si>
  <si>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</si>
  <si>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</si>
  <si>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</si>
  <si>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</si>
  <si>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</si>
  <si>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</si>
  <si>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</si>
  <si>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</si>
  <si>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</si>
  <si>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</si>
  <si>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</si>
  <si>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</si>
  <si>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</si>
  <si>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</si>
  <si>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</si>
  <si>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</si>
  <si>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</si>
  <si>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</si>
  <si>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</si>
  <si>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</si>
  <si>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</si>
  <si>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</si>
  <si>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</si>
  <si>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</si>
  <si>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</si>
  <si>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</si>
  <si>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</si>
  <si>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</si>
  <si>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</si>
  <si>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</si>
  <si>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</si>
  <si>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</si>
  <si>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</si>
  <si>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</si>
  <si>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</si>
  <si>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</si>
  <si>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</si>
  <si>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</si>
  <si>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</si>
  <si>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</si>
  <si>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</si>
  <si>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</si>
  <si>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</si>
  <si>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</si>
  <si>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</si>
  <si>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</si>
  <si>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</si>
  <si>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</si>
  <si>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</si>
  <si>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</si>
  <si>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</si>
  <si>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</si>
  <si>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</si>
  <si>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</si>
  <si>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</si>
  <si>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</si>
  <si>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</si>
  <si>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</si>
  <si>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</si>
  <si>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</si>
  <si>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</si>
  <si>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</si>
  <si>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</si>
  <si>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</si>
  <si>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</si>
  <si>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</si>
  <si>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</si>
  <si>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</si>
  <si>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</si>
  <si>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</si>
  <si>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</si>
  <si>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</si>
  <si>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</si>
  <si>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</si>
  <si>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</si>
  <si>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</si>
  <si>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</si>
  <si>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</si>
  <si>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</si>
  <si>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</si>
  <si>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</si>
  <si>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</si>
  <si>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</si>
  <si>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</si>
  <si>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</si>
  <si>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</si>
  <si>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</si>
  <si>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</si>
  <si>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</si>
  <si>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</si>
  <si>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</si>
  <si>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</si>
  <si>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</si>
  <si>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</si>
  <si>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</si>
  <si>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</si>
  <si>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</si>
  <si>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</si>
  <si>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</si>
  <si>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</si>
  <si>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</si>
  <si>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</si>
  <si>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</si>
  <si>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</si>
  <si>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</si>
  <si>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</si>
  <si>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</si>
  <si>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</si>
  <si>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</si>
  <si>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</si>
  <si>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</si>
  <si>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</si>
  <si>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</si>
  <si>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</si>
  <si>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</si>
  <si>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</si>
  <si>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</si>
  <si>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</si>
  <si>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</si>
  <si>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</si>
  <si>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</si>
  <si>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</si>
  <si>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</si>
  <si>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</si>
  <si>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</si>
  <si>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</si>
  <si>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</si>
  <si>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</si>
  <si>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</si>
  <si>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</si>
  <si>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</si>
  <si>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</si>
  <si>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</si>
  <si>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</si>
  <si>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</si>
  <si>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</si>
  <si>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</si>
  <si>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</si>
  <si>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</si>
  <si>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</si>
  <si>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</si>
  <si>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</si>
  <si>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</si>
  <si>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</si>
  <si>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</si>
  <si>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</si>
  <si>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</si>
  <si>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</si>
  <si>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</si>
  <si>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</si>
  <si>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</si>
  <si>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</si>
  <si>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</si>
  <si>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</si>
  <si>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</si>
  <si>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</si>
  <si>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</si>
  <si>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</si>
  <si>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</si>
  <si>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</si>
  <si>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</si>
  <si>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</si>
  <si>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</si>
  <si>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</si>
  <si>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</si>
  <si>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</si>
  <si>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</si>
  <si>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</si>
  <si>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</si>
  <si>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</si>
  <si>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</si>
  <si>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</si>
  <si>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</si>
  <si>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</si>
  <si>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</si>
  <si>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</si>
  <si>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</si>
  <si>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</si>
  <si>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</si>
  <si>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</si>
  <si>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</si>
  <si>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</si>
  <si>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</si>
  <si>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</si>
  <si>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</si>
  <si>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</si>
  <si>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</si>
  <si>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</si>
  <si>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</si>
  <si>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</si>
  <si>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</si>
  <si>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</si>
  <si>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</si>
  <si>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</si>
  <si>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</si>
  <si>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</si>
  <si>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</si>
  <si>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</si>
  <si>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</si>
  <si>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</si>
  <si>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</si>
  <si>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</si>
  <si>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</si>
  <si>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</si>
  <si>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</si>
  <si>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</si>
  <si>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</si>
  <si>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</si>
  <si>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</si>
  <si>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</si>
  <si>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</si>
  <si>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</si>
  <si>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</si>
  <si>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</si>
  <si>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</si>
  <si>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</si>
  <si>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</si>
  <si>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</si>
  <si>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</si>
  <si>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</si>
  <si>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</si>
  <si>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</si>
  <si>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</si>
  <si>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</si>
  <si>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</si>
  <si>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</si>
  <si>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</si>
  <si>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</si>
  <si>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</si>
  <si>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</si>
  <si>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</si>
  <si>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</si>
  <si>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</si>
  <si>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</si>
  <si>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</si>
  <si>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</si>
  <si>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</si>
  <si>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</si>
  <si>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</si>
  <si>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</si>
  <si>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</si>
  <si>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</si>
  <si>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</si>
  <si>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</si>
  <si>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</si>
  <si>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</si>
  <si>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</si>
  <si>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</si>
  <si>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</si>
  <si>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</si>
  <si>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</si>
  <si>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</si>
  <si>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</si>
  <si>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</si>
  <si>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</si>
  <si>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</si>
  <si>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</si>
  <si>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</si>
  <si>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</si>
  <si>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</si>
  <si>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</si>
  <si>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</si>
  <si>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</si>
  <si>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</si>
  <si>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</si>
  <si>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</si>
  <si>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</si>
  <si>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</si>
  <si>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</si>
  <si>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</si>
  <si>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</si>
  <si>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</si>
  <si>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</si>
  <si>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</si>
  <si>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</si>
  <si>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</si>
  <si>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</si>
  <si>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</si>
  <si>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</si>
  <si>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</si>
  <si>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</si>
  <si>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</si>
  <si>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</si>
  <si>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</si>
  <si>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</si>
  <si>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</si>
  <si>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</si>
  <si>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</si>
  <si>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</si>
  <si>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</si>
  <si>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</si>
  <si>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</si>
  <si>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</si>
  <si>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</si>
  <si>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</si>
  <si>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</si>
  <si>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</si>
  <si>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</si>
  <si>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</si>
  <si>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</si>
  <si>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</si>
  <si>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</si>
  <si>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</si>
  <si>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</si>
  <si>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</si>
  <si>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</si>
  <si>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</si>
  <si>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</si>
  <si>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</si>
  <si>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</si>
  <si>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</si>
  <si>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</si>
  <si>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</si>
  <si>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</si>
  <si>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</si>
  <si>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</si>
  <si>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</si>
  <si>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</si>
  <si>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</si>
  <si>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</si>
  <si>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</si>
  <si>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</si>
  <si>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</si>
  <si>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</si>
  <si>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</si>
  <si>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</si>
  <si>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</si>
  <si>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</si>
  <si>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</si>
  <si>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</si>
  <si>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</si>
  <si>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</si>
  <si>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</si>
  <si>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</si>
  <si>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</si>
  <si>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</si>
  <si>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</si>
  <si>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</si>
  <si>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</si>
  <si>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</si>
  <si>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</si>
  <si>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</si>
  <si>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</si>
  <si>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</si>
  <si>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</si>
  <si>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</si>
  <si>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</si>
  <si>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</si>
  <si>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</si>
  <si>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</si>
  <si>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</si>
  <si>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</si>
  <si>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</si>
  <si>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</si>
  <si>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</si>
  <si>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</si>
  <si>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</si>
  <si>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</si>
  <si>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</si>
  <si>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</si>
  <si>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</si>
  <si>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</si>
  <si>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</si>
  <si>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</si>
  <si>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</si>
  <si>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</si>
  <si>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</si>
  <si>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</si>
  <si>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</si>
  <si>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</si>
  <si>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</si>
  <si>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</si>
  <si>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</si>
  <si>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</si>
  <si>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</si>
  <si>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</si>
  <si>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</si>
  <si>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</si>
  <si>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</si>
  <si>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</si>
  <si>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</si>
  <si>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</si>
  <si>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</si>
  <si>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</si>
  <si>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</si>
  <si>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</si>
  <si>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</si>
  <si>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</si>
  <si>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</si>
  <si>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</si>
  <si>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</si>
  <si>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</si>
  <si>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</si>
  <si>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</si>
  <si>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</si>
  <si>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</si>
  <si>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</si>
  <si>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</si>
  <si>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</si>
  <si>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</si>
  <si>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</si>
  <si>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</si>
  <si>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</si>
  <si>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</si>
  <si>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</si>
  <si>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</si>
  <si>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</si>
  <si>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</si>
  <si>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</si>
  <si>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</si>
  <si>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</si>
  <si>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</si>
  <si>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</si>
  <si>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</si>
  <si>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</si>
  <si>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</si>
  <si>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</si>
  <si>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</si>
  <si>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</si>
  <si>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</si>
  <si>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</si>
  <si>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</si>
  <si>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</si>
  <si>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</si>
  <si>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</si>
  <si>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</si>
  <si>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</si>
  <si>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</si>
  <si>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</si>
  <si>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</si>
  <si>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</si>
  <si>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</si>
  <si>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</si>
  <si>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</si>
  <si>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</si>
  <si>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</si>
  <si>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</si>
  <si>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</si>
  <si>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</si>
  <si>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</si>
  <si>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</si>
  <si>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</si>
  <si>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</si>
  <si>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</si>
  <si>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</si>
  <si>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</si>
  <si>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</si>
  <si>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</si>
  <si>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</si>
  <si>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</si>
  <si>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</si>
  <si>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</si>
  <si>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</si>
  <si>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</si>
  <si>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</si>
  <si>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</si>
  <si>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</si>
  <si>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</si>
  <si>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</si>
  <si>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</si>
  <si>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</si>
  <si>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</si>
  <si>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</si>
  <si>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</si>
  <si>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</si>
  <si>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</si>
  <si>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</si>
  <si>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</si>
  <si>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</si>
  <si>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</si>
  <si>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</si>
  <si>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</si>
  <si>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</si>
  <si>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</si>
  <si>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</si>
  <si>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</si>
  <si>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</si>
  <si>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</si>
  <si>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</si>
  <si>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</si>
  <si>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</si>
  <si>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</si>
  <si>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</si>
  <si>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</si>
  <si>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</si>
  <si>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</si>
  <si>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</si>
  <si>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</si>
  <si>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</si>
  <si>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</si>
  <si>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</si>
  <si>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</si>
  <si>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</si>
  <si>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</si>
  <si>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</si>
  <si>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</si>
  <si>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</si>
  <si>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</si>
  <si>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</si>
  <si>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</si>
  <si>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</si>
  <si>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</si>
  <si>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</si>
  <si>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</si>
  <si>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</si>
  <si>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</si>
  <si>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</si>
  <si>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</si>
  <si>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</si>
  <si>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</si>
  <si>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</si>
  <si>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</si>
  <si>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</si>
  <si>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</si>
  <si>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</si>
  <si>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</si>
  <si>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</si>
  <si>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</si>
  <si>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</si>
  <si>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</si>
  <si>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</si>
  <si>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</si>
  <si>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</si>
  <si>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</si>
  <si>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</si>
  <si>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</si>
  <si>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</si>
  <si>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</si>
  <si>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</si>
  <si>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</si>
  <si>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</si>
  <si>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</si>
  <si>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</si>
  <si>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</si>
  <si>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</si>
  <si>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</si>
  <si>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</si>
  <si>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</si>
  <si>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</si>
  <si>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</si>
  <si>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</si>
  <si>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</si>
  <si>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</si>
  <si>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</si>
  <si>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</si>
  <si>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</si>
  <si>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</si>
  <si>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</si>
  <si>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</si>
  <si>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</si>
  <si>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</si>
  <si>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</si>
  <si>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</si>
  <si>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</si>
  <si>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</si>
  <si>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</si>
  <si>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</si>
  <si>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</si>
  <si>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</si>
  <si>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</si>
  <si>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</si>
  <si>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</si>
  <si>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</si>
  <si>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</si>
  <si>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</si>
  <si>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</si>
  <si>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</si>
  <si>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</si>
  <si>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</si>
  <si>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</si>
  <si>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</si>
  <si>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</si>
  <si>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</si>
  <si>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</si>
  <si>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</si>
  <si>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</si>
  <si>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</si>
  <si>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</si>
  <si>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</si>
  <si>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</si>
  <si>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</si>
  <si>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</si>
  <si>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</si>
  <si>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</si>
  <si>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</si>
  <si>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</si>
  <si>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</si>
  <si>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</si>
  <si>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</si>
  <si>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</si>
  <si>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</si>
  <si>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</si>
  <si>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</si>
  <si>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</si>
  <si>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</si>
  <si>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</si>
  <si>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</si>
  <si>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</si>
  <si>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</si>
  <si>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</si>
  <si>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</si>
  <si>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</si>
  <si>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</si>
  <si>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</si>
  <si>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</si>
  <si>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</si>
  <si>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</si>
  <si>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</si>
  <si>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</si>
  <si>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</si>
  <si>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</si>
  <si>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</si>
  <si>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</si>
  <si>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</si>
  <si>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</si>
  <si>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</si>
  <si>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</si>
  <si>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</si>
  <si>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</si>
  <si>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</si>
  <si>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</si>
  <si>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</si>
  <si>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</si>
  <si>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</si>
  <si>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</si>
  <si>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</si>
  <si>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</si>
  <si>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</si>
  <si>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</si>
  <si>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</si>
  <si>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</si>
  <si>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</si>
  <si>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</si>
  <si>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</si>
  <si>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</si>
  <si>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</si>
  <si>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</si>
  <si>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</si>
  <si>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</si>
  <si>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</si>
  <si>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</si>
  <si>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</si>
  <si>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</si>
  <si>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</si>
  <si>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</si>
  <si>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</si>
  <si>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</si>
  <si>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</si>
  <si>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</si>
  <si>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</si>
  <si>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</si>
  <si>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</si>
  <si>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</si>
  <si>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</si>
  <si>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</si>
  <si>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</si>
  <si>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</si>
  <si>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</si>
  <si>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</si>
  <si>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</si>
  <si>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</si>
  <si>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</si>
  <si>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V.0.002.22</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</si>
  <si>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</si>
  <si>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</si>
  <si>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</si>
  <si>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</si>
  <si>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</si>
  <si>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</si>
  <si>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</si>
  <si>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</si>
  <si>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</si>
  <si>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</si>
  <si>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</si>
  <si>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</si>
  <si>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Measures the level of credit deterioration of the assets in the cover pool that is consistent with the theoretical highest rating achievable in the jurisdiction. The higher the credit quality of the cover pool, the lower the collateral score.</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</si>
  <si>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</si>
  <si>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</si>
  <si>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</si>
  <si>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</si>
  <si>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t>
  </si>
  <si>
    <t>Counterparty Risk Assessment</t>
  </si>
  <si>
    <t>Cover Pool Balance minus Substitute Collateral.</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</si>
  <si>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</si>
  <si>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</si>
  <si>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</si>
  <si>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</si>
  <si>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</si>
  <si>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</si>
  <si>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</si>
  <si>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 xml:space="preserve">For Covered Bonds that are subject to a national covered bond legal framework, identify the relevant country. For other Covered Bonds, enter “NR”. </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</si>
  <si>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</si>
  <si>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</si>
  <si>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</si>
  <si>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</si>
  <si>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</si>
  <si>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</si>
  <si>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</si>
  <si>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The minimum over-collateralisation calculated to be consistent with the current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</si>
  <si>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</si>
  <si>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</si>
  <si>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</si>
  <si>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</si>
  <si>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</si>
  <si>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</si>
  <si>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</si>
  <si>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</si>
  <si>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</si>
  <si>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</si>
  <si>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</si>
  <si>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</si>
  <si>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The long term expected loss rating assigned to unsubordinated debt obligations.</t>
  </si>
  <si>
    <t>SUR/Senior Unsecured Rating</t>
  </si>
  <si>
    <t>Entities that have entered into derivative agreements in relation to the cover pool assets and/or covered bonds. “NR” may be entered here if no derivative agreements have been entered into.</t>
  </si>
  <si>
    <t>Timely Payment Indicator / TPI</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</si>
  <si>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t>
  </si>
  <si>
    <t>The issuers may choose to fill in either option 1 of the arrears table, or option 2. Please enter “NR” for the option not chosen.</t>
  </si>
  <si>
    <t>Soft bullet</t>
  </si>
  <si>
    <t>SEB AB</t>
  </si>
  <si>
    <t>Sparebanken Øst</t>
  </si>
  <si>
    <t>NR</t>
  </si>
  <si>
    <t>213800HW2E5VN9FK1Y53</t>
  </si>
  <si>
    <t>549300UH6OJPQQDTVI55</t>
  </si>
  <si>
    <t>Nordea Bank Finland PLC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</si>
</sst>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_([$€-2]* #,##0.00_);_([$€-2]* \(#,##0.00\);_([$€-2]* &quot;-&quot;??_)"/>
    <numFmt numFmtId="169" formatCode="_-* #,##0_-;_-* #,##0\-;_-* &quot;-&quot;_-;_-@_-"/>
    <numFmt numFmtId="170" formatCode="#,##0\ &quot;F&quot;;[Red]\-#,##0\ &quot;F&quot;"/>
    <numFmt numFmtId="171" formatCode="#,##0.00\ &quot;F&quot;;[Red]\-#,##0.00\ &quot;F&quot;"/>
    <numFmt numFmtId="172" formatCode="0.0%"/>
    <numFmt numFmtId="173" formatCode="_-* #,##0_-;\-* #,##0_-;_-* &quot;-&quot;??_-;_-@_-"/>
    <numFmt numFmtId="174" formatCode="0.0"/>
    <numFmt numFmtId="175" formatCode="#,##0.00_ ;\-#,##0.00\ "/>
    <numFmt numFmtId="176" formatCode="#,##0_ ;\-#,##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70" fontId="11" fillId="0" borderId="0" applyFont="0" applyFill="0" applyBorder="0" applyAlignment="0" applyProtection="0"/>
    <xf numFmtId="171"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167" fontId="24" fillId="0" borderId="0" applyFont="0" applyFill="0" applyBorder="0" applyAlignment="0" applyProtection="0"/>
    <xf numFmtId="9" fontId="24" fillId="0" borderId="0" applyFont="0" applyFill="0" applyBorder="0" applyAlignment="0" applyProtection="0"/>
    <xf numFmtId="0" fontId="26" fillId="0" borderId="0"/>
  </cellStyleXfs>
  <cellXfs count="118">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167"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2"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167" fontId="29" fillId="14" borderId="8" xfId="41" applyNumberFormat="1" applyFont="1" applyFill="1" applyBorder="1" applyAlignment="1">
      <alignment horizontal="right"/>
    </xf>
    <xf numFmtId="167" fontId="29" fillId="14" borderId="15" xfId="41" applyNumberFormat="1" applyFont="1" applyFill="1" applyBorder="1" applyAlignment="1">
      <alignment horizontal="right"/>
    </xf>
    <xf numFmtId="167" fontId="29" fillId="14" borderId="22" xfId="0" applyNumberFormat="1" applyFont="1" applyFill="1" applyBorder="1" applyAlignment="1">
      <alignment horizontal="right"/>
    </xf>
    <xf numFmtId="173" fontId="29" fillId="14" borderId="8" xfId="41" applyNumberFormat="1" applyFont="1" applyFill="1" applyBorder="1" applyAlignment="1">
      <alignment horizontal="right"/>
    </xf>
    <xf numFmtId="0" fontId="29" fillId="14" borderId="1" xfId="0" quotePrefix="1" applyFont="1" applyFill="1" applyBorder="1" applyAlignment="1">
      <alignment horizontal="right"/>
    </xf>
    <xf numFmtId="172" fontId="29" fillId="14" borderId="8" xfId="42" applyNumberFormat="1" applyFont="1" applyFill="1" applyBorder="1" applyAlignment="1">
      <alignment horizontal="right"/>
    </xf>
    <xf numFmtId="0" fontId="29" fillId="14" borderId="15" xfId="0" applyFont="1" applyFill="1" applyBorder="1" applyAlignment="1">
      <alignment horizontal="right"/>
    </xf>
    <xf numFmtId="175" fontId="0" fillId="0" borderId="1" xfId="41" quotePrefix="1" applyNumberFormat="1" applyFont="1" applyFill="1" applyBorder="1" applyAlignment="1">
      <alignment horizontal="right"/>
    </xf>
    <xf numFmtId="175" fontId="29" fillId="14" borderId="1" xfId="41" applyNumberFormat="1" applyFont="1" applyFill="1" applyBorder="1" applyAlignment="1">
      <alignment horizontal="right"/>
    </xf>
    <xf numFmtId="175" fontId="29" fillId="14" borderId="25" xfId="41" applyNumberFormat="1" applyFont="1" applyFill="1" applyBorder="1" applyAlignment="1">
      <alignment horizontal="right"/>
    </xf>
    <xf numFmtId="175" fontId="29" fillId="14" borderId="8" xfId="41" applyNumberFormat="1" applyFont="1" applyFill="1" applyBorder="1" applyAlignment="1">
      <alignment horizontal="right"/>
    </xf>
    <xf numFmtId="175"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176" fontId="29" fillId="14" borderId="1" xfId="4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4"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5"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5" fontId="0" fillId="0" borderId="15" xfId="41" quotePrefix="1" applyNumberFormat="1" applyFont="1" applyFill="1" applyBorder="1" applyAlignment="1">
      <alignment horizontal="right"/>
    </xf>
    <xf numFmtId="175"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5"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167" fontId="29" fillId="14" borderId="8" xfId="41" applyFont="1" applyFill="1" applyBorder="1" applyAlignment="1">
      <alignment horizontal="right"/>
    </xf>
    <xf numFmtId="167" fontId="29" fillId="14" borderId="15" xfId="41" applyFont="1" applyFill="1" applyBorder="1" applyAlignment="1">
      <alignment horizontal="right"/>
    </xf>
    <xf numFmtId="167" fontId="29" fillId="14" borderId="33" xfId="0" applyNumberFormat="1" applyFont="1" applyFill="1" applyBorder="1" applyAlignment="1">
      <alignment horizontal="right"/>
    </xf>
    <xf numFmtId="167" fontId="29" fillId="14" borderId="34" xfId="41"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2" fontId="0" fillId="2" borderId="15" xfId="42" quotePrefix="1" applyNumberFormat="1" applyFont="1" applyFill="1" applyBorder="1" applyAlignment="1">
      <alignment horizontal="right"/>
    </xf>
    <xf numFmtId="175"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1" sqref="C21"/>
    </sheetView>
  </sheetViews>
  <sheetFormatPr baseColWidth="10"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967</v>
      </c>
      <c r="E19" s="6"/>
      <c r="F19" s="11"/>
    </row>
    <row r="20" spans="1:6" ht="28.5" x14ac:dyDescent="0.25">
      <c r="A20" s="2"/>
      <c r="B20" s="8">
        <v>8</v>
      </c>
      <c r="C20" s="10" t="s">
        <v>1011</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C42" sqref="C42"/>
    </sheetView>
  </sheetViews>
  <sheetFormatPr baseColWidth="10" defaultColWidth="9.140625" defaultRowHeight="15" x14ac:dyDescent="0.25"/>
  <cols>
    <col min="1" max="1" width="12" style="65" hidden="1" customWidth="1"/>
    <col min="2" max="2" width="43.5703125" style="60" customWidth="1"/>
    <col min="3" max="3" width="34.28515625" style="60" bestFit="1" customWidth="1"/>
    <col min="4" max="4" width="27.28515625" style="60" customWidth="1"/>
    <col min="5" max="5" width="43.28515625" style="60" bestFit="1" customWidth="1"/>
    <col min="6" max="6" width="25.85546875" style="60" customWidth="1"/>
    <col min="7" max="7" width="10.7109375" style="60" customWidth="1"/>
    <col min="8" max="8" width="43.28515625" style="60" bestFit="1" customWidth="1"/>
    <col min="9" max="9" width="25.85546875" style="60" customWidth="1"/>
    <col min="10" max="10" width="10.7109375" style="60" customWidth="1"/>
    <col min="11" max="11" width="43.28515625" style="60" bestFit="1" customWidth="1"/>
    <col min="12" max="12" width="25.85546875" style="60" customWidth="1"/>
    <col min="13" max="13" width="10.7109375" style="60" customWidth="1"/>
    <col min="14" max="14" width="43.28515625" style="60" bestFit="1" customWidth="1"/>
    <col min="15" max="15" width="25.85546875" style="60" customWidth="1"/>
    <col min="16" max="16" width="10.7109375" style="60" customWidth="1"/>
    <col min="17" max="17" width="43.28515625" style="60" bestFit="1" customWidth="1"/>
    <col min="18" max="18" width="25.85546875" style="60" customWidth="1"/>
    <col min="19" max="19" width="10.7109375" style="60" customWidth="1"/>
    <col min="20" max="20" width="43.28515625" style="60" bestFit="1" customWidth="1"/>
    <col min="21" max="21" width="25.85546875" style="60" customWidth="1"/>
    <col min="22" max="22" width="10.7109375" style="60" customWidth="1"/>
    <col min="23" max="23" width="43.28515625" style="60" bestFit="1" customWidth="1"/>
    <col min="24" max="24" width="25.85546875" style="60" customWidth="1"/>
    <col min="25" max="25" width="10.7109375" style="60" customWidth="1"/>
    <col min="26" max="26" width="43.28515625" style="60" bestFit="1" customWidth="1"/>
    <col min="27" max="27" width="25.85546875" style="60" customWidth="1"/>
    <col min="28" max="28" width="10.7109375" style="60" customWidth="1"/>
    <col min="29" max="29" width="43.28515625" style="60" bestFit="1" customWidth="1"/>
    <col min="30" max="30" width="25.85546875" style="60" customWidth="1"/>
    <col min="31" max="16384" width="9.140625" style="60"/>
  </cols>
  <sheetData>
    <row r="1" spans="1:28" x14ac:dyDescent="0.25">
      <c r="A1" s="65" t="s">
        <v>778</v>
      </c>
      <c r="B1" s="65" t="s">
        <v>957</v>
      </c>
      <c r="G1" s="87"/>
    </row>
    <row r="2" spans="1:28" ht="15.75" thickBot="1" x14ac:dyDescent="0.3">
      <c r="B2" s="62" t="s">
        <v>22</v>
      </c>
      <c r="G2" s="87"/>
    </row>
    <row r="3" spans="1:28" x14ac:dyDescent="0.25">
      <c r="A3" s="65" t="s">
        <v>779</v>
      </c>
      <c r="B3" s="29" t="s">
        <v>566</v>
      </c>
      <c r="C3" s="64">
        <v>43555</v>
      </c>
      <c r="J3" s="76"/>
      <c r="K3" s="69"/>
      <c r="L3" s="69"/>
      <c r="M3" s="69"/>
      <c r="N3" s="69"/>
      <c r="O3" s="69"/>
      <c r="P3" s="69"/>
      <c r="Q3" s="69"/>
      <c r="R3" s="69"/>
      <c r="S3" s="69"/>
      <c r="T3" s="69"/>
      <c r="U3" s="69"/>
      <c r="V3" s="82"/>
      <c r="Y3" s="82"/>
      <c r="AB3" s="82"/>
    </row>
    <row r="4" spans="1:28" x14ac:dyDescent="0.25">
      <c r="A4" s="65" t="s">
        <v>780</v>
      </c>
      <c r="B4" s="17" t="s">
        <v>21</v>
      </c>
      <c r="C4" s="44" t="s">
        <v>401</v>
      </c>
    </row>
    <row r="5" spans="1:28" x14ac:dyDescent="0.25">
      <c r="A5" s="65" t="s">
        <v>781</v>
      </c>
      <c r="B5" s="17" t="s">
        <v>562</v>
      </c>
      <c r="C5" s="44">
        <v>266</v>
      </c>
    </row>
    <row r="6" spans="1:28" x14ac:dyDescent="0.25">
      <c r="A6" s="65" t="s">
        <v>782</v>
      </c>
      <c r="B6" s="17" t="s">
        <v>1</v>
      </c>
      <c r="C6" s="44" t="s">
        <v>72</v>
      </c>
    </row>
    <row r="7" spans="1:28" x14ac:dyDescent="0.25">
      <c r="A7" s="65" t="s">
        <v>783</v>
      </c>
      <c r="B7" s="17" t="s">
        <v>44</v>
      </c>
      <c r="C7" s="44" t="s">
        <v>16</v>
      </c>
    </row>
    <row r="8" spans="1:28" x14ac:dyDescent="0.25">
      <c r="A8" s="65" t="s">
        <v>784</v>
      </c>
      <c r="B8" s="17" t="s">
        <v>776</v>
      </c>
      <c r="C8" s="50">
        <v>0.123</v>
      </c>
    </row>
    <row r="9" spans="1:28" ht="15.75" thickBot="1" x14ac:dyDescent="0.3">
      <c r="A9" s="65" t="s">
        <v>785</v>
      </c>
      <c r="B9" s="19" t="s">
        <v>777</v>
      </c>
      <c r="C9" s="51" t="s">
        <v>411</v>
      </c>
    </row>
    <row r="11" spans="1:28" ht="15.75" thickBot="1" x14ac:dyDescent="0.3">
      <c r="B11" s="76" t="s">
        <v>0</v>
      </c>
      <c r="C11" s="66" t="s">
        <v>33</v>
      </c>
      <c r="D11" s="66" t="s">
        <v>32</v>
      </c>
    </row>
    <row r="12" spans="1:28" x14ac:dyDescent="0.25">
      <c r="A12" s="65" t="s">
        <v>790</v>
      </c>
      <c r="B12" s="29" t="s">
        <v>487</v>
      </c>
      <c r="C12" s="67">
        <v>16155803327.360001</v>
      </c>
      <c r="D12" s="14"/>
    </row>
    <row r="13" spans="1:28" x14ac:dyDescent="0.25">
      <c r="A13" s="65" t="s">
        <v>792</v>
      </c>
      <c r="B13" s="17" t="s">
        <v>413</v>
      </c>
      <c r="C13" s="52">
        <f>IFERROR(UM_CoverPoolBalance-UM_CoverPoolSubstituteCollateral,UM_CoverPoolBalance)</f>
        <v>15791572078.360001</v>
      </c>
      <c r="D13" s="39">
        <f>IFERROR(C13/$C$12,"")</f>
        <v>0.97745508275758897</v>
      </c>
    </row>
    <row r="14" spans="1:28" x14ac:dyDescent="0.25">
      <c r="A14" s="65" t="s">
        <v>793</v>
      </c>
      <c r="B14" s="17" t="s">
        <v>34</v>
      </c>
      <c r="C14" s="53">
        <v>364231249</v>
      </c>
      <c r="D14" s="39">
        <f>IFERROR(C14/$C$12,"")</f>
        <v>2.2544917242411033E-2</v>
      </c>
    </row>
    <row r="15" spans="1:28" x14ac:dyDescent="0.25">
      <c r="B15" s="17"/>
      <c r="C15" s="12"/>
      <c r="D15" s="32"/>
    </row>
    <row r="16" spans="1:28" x14ac:dyDescent="0.25">
      <c r="B16" s="17" t="s">
        <v>4</v>
      </c>
      <c r="C16" s="12"/>
      <c r="D16" s="32"/>
    </row>
    <row r="17" spans="1:6" ht="15.75" thickBot="1" x14ac:dyDescent="0.3">
      <c r="A17" s="65" t="s">
        <v>794</v>
      </c>
      <c r="B17" s="17" t="s">
        <v>25</v>
      </c>
      <c r="C17" s="53">
        <v>0</v>
      </c>
      <c r="D17" s="39">
        <f>IFERROR(C17/SUM(C17:C18),"")</f>
        <v>0</v>
      </c>
    </row>
    <row r="18" spans="1:6" x14ac:dyDescent="0.25">
      <c r="A18" s="65" t="s">
        <v>795</v>
      </c>
      <c r="B18" s="17" t="s">
        <v>19</v>
      </c>
      <c r="C18" s="67">
        <v>16155803327.360001</v>
      </c>
      <c r="D18" s="39">
        <f>IFERROR(C18/SUM(C17:C18),"")</f>
        <v>1</v>
      </c>
    </row>
    <row r="19" spans="1:6" x14ac:dyDescent="0.25">
      <c r="B19" s="17"/>
      <c r="C19" s="12"/>
      <c r="D19" s="32"/>
    </row>
    <row r="20" spans="1:6" x14ac:dyDescent="0.25">
      <c r="A20" s="65" t="s">
        <v>786</v>
      </c>
      <c r="B20" s="61" t="s">
        <v>492</v>
      </c>
      <c r="C20" s="63">
        <v>11.103889739873074</v>
      </c>
      <c r="D20" s="32"/>
    </row>
    <row r="21" spans="1:6" x14ac:dyDescent="0.25">
      <c r="A21" s="65" t="s">
        <v>796</v>
      </c>
      <c r="B21" s="17" t="s">
        <v>774</v>
      </c>
      <c r="C21" s="59">
        <v>48.3</v>
      </c>
      <c r="D21" s="32"/>
    </row>
    <row r="22" spans="1:6" x14ac:dyDescent="0.25">
      <c r="A22" s="65" t="s">
        <v>797</v>
      </c>
      <c r="B22" s="17" t="s">
        <v>775</v>
      </c>
      <c r="C22" s="59">
        <v>250</v>
      </c>
      <c r="D22" s="32"/>
    </row>
    <row r="23" spans="1:6" x14ac:dyDescent="0.25">
      <c r="B23" s="17"/>
      <c r="C23" s="18"/>
      <c r="D23" s="33"/>
    </row>
    <row r="24" spans="1:6" ht="15.75" thickBot="1" x14ac:dyDescent="0.3">
      <c r="B24" s="17" t="s">
        <v>5</v>
      </c>
      <c r="C24" s="12"/>
      <c r="D24" s="32"/>
    </row>
    <row r="25" spans="1:6" x14ac:dyDescent="0.25">
      <c r="A25" s="65" t="s">
        <v>798</v>
      </c>
      <c r="B25" s="40" t="s">
        <v>401</v>
      </c>
      <c r="C25" s="67">
        <v>16155803327.360001</v>
      </c>
      <c r="D25" s="39">
        <f>IFERROR(C25/SUM($C$25:$C$30),"")</f>
        <v>1</v>
      </c>
      <c r="F25" s="89"/>
    </row>
    <row r="26" spans="1:6" x14ac:dyDescent="0.25">
      <c r="A26" s="65" t="s">
        <v>799</v>
      </c>
      <c r="B26" s="40"/>
      <c r="C26" s="53"/>
      <c r="D26" s="39">
        <f t="shared" ref="D26:D30" si="0">IFERROR(C26/SUM($C$25:$C$30),"")</f>
        <v>0</v>
      </c>
    </row>
    <row r="27" spans="1:6" x14ac:dyDescent="0.25">
      <c r="A27" s="65" t="s">
        <v>800</v>
      </c>
      <c r="B27" s="40"/>
      <c r="C27" s="53"/>
      <c r="D27" s="39">
        <f t="shared" si="0"/>
        <v>0</v>
      </c>
    </row>
    <row r="28" spans="1:6" x14ac:dyDescent="0.25">
      <c r="A28" s="65" t="s">
        <v>801</v>
      </c>
      <c r="B28" s="40"/>
      <c r="C28" s="53"/>
      <c r="D28" s="39">
        <f t="shared" si="0"/>
        <v>0</v>
      </c>
    </row>
    <row r="29" spans="1:6" x14ac:dyDescent="0.25">
      <c r="A29" s="65" t="s">
        <v>802</v>
      </c>
      <c r="B29" s="40"/>
      <c r="C29" s="53"/>
      <c r="D29" s="39">
        <f t="shared" si="0"/>
        <v>0</v>
      </c>
    </row>
    <row r="30" spans="1:6" ht="15.75" thickBot="1" x14ac:dyDescent="0.3">
      <c r="A30" s="65" t="s">
        <v>811</v>
      </c>
      <c r="B30" s="23" t="s">
        <v>20</v>
      </c>
      <c r="C30" s="54">
        <v>0</v>
      </c>
      <c r="D30" s="106">
        <f t="shared" si="0"/>
        <v>0</v>
      </c>
    </row>
    <row r="32" spans="1:6" ht="15.75" thickBot="1" x14ac:dyDescent="0.3">
      <c r="B32" s="76" t="s">
        <v>3</v>
      </c>
      <c r="C32" s="66" t="s">
        <v>33</v>
      </c>
      <c r="D32" s="66" t="s">
        <v>32</v>
      </c>
    </row>
    <row r="33" spans="1:4" x14ac:dyDescent="0.25">
      <c r="A33" s="65" t="s">
        <v>789</v>
      </c>
      <c r="B33" s="29" t="s">
        <v>555</v>
      </c>
      <c r="C33" s="67">
        <v>14258000000</v>
      </c>
      <c r="D33" s="68"/>
    </row>
    <row r="34" spans="1:4" x14ac:dyDescent="0.25">
      <c r="A34" s="65" t="s">
        <v>787</v>
      </c>
      <c r="B34" s="17" t="s">
        <v>492</v>
      </c>
      <c r="C34" s="63">
        <v>3.5824000561088511</v>
      </c>
      <c r="D34" s="16"/>
    </row>
    <row r="35" spans="1:4" x14ac:dyDescent="0.25">
      <c r="A35" s="65" t="s">
        <v>788</v>
      </c>
      <c r="B35" s="17" t="s">
        <v>37</v>
      </c>
      <c r="C35" s="43" t="s">
        <v>1012</v>
      </c>
      <c r="D35" s="16"/>
    </row>
    <row r="36" spans="1:4" x14ac:dyDescent="0.25">
      <c r="B36" s="17"/>
      <c r="C36" s="12"/>
      <c r="D36" s="16"/>
    </row>
    <row r="37" spans="1:4" x14ac:dyDescent="0.25">
      <c r="B37" s="17" t="s">
        <v>4</v>
      </c>
      <c r="C37" s="12"/>
      <c r="D37" s="16"/>
    </row>
    <row r="38" spans="1:4" x14ac:dyDescent="0.25">
      <c r="A38" s="65" t="s">
        <v>803</v>
      </c>
      <c r="B38" s="17" t="s">
        <v>25</v>
      </c>
      <c r="C38" s="53">
        <v>1750000000</v>
      </c>
      <c r="D38" s="39">
        <f>IFERROR(C38/SUM($C$38:$C$39),"")</f>
        <v>0.12273811193715808</v>
      </c>
    </row>
    <row r="39" spans="1:4" x14ac:dyDescent="0.25">
      <c r="A39" s="65" t="s">
        <v>804</v>
      </c>
      <c r="B39" s="17" t="s">
        <v>19</v>
      </c>
      <c r="C39" s="53">
        <v>12508000000</v>
      </c>
      <c r="D39" s="39">
        <f>IFERROR(C39/SUM($C$38:$C$39),"")</f>
        <v>0.87726188806284189</v>
      </c>
    </row>
    <row r="40" spans="1:4" x14ac:dyDescent="0.25">
      <c r="B40" s="17"/>
      <c r="C40" s="18"/>
      <c r="D40" s="35"/>
    </row>
    <row r="41" spans="1:4" ht="15.75" thickBot="1" x14ac:dyDescent="0.3">
      <c r="B41" s="17" t="s">
        <v>5</v>
      </c>
      <c r="C41" s="12"/>
      <c r="D41" s="36"/>
    </row>
    <row r="42" spans="1:4" x14ac:dyDescent="0.25">
      <c r="A42" s="65" t="s">
        <v>805</v>
      </c>
      <c r="B42" s="40" t="s">
        <v>401</v>
      </c>
      <c r="C42" s="67">
        <v>14258000000</v>
      </c>
      <c r="D42" s="39">
        <f>IFERROR(C42/SUM($C$42:$C$47),"")</f>
        <v>1</v>
      </c>
    </row>
    <row r="43" spans="1:4" x14ac:dyDescent="0.25">
      <c r="A43" s="65" t="s">
        <v>806</v>
      </c>
      <c r="B43" s="40"/>
      <c r="C43" s="53"/>
      <c r="D43" s="39">
        <f t="shared" ref="D43:D47" si="1">IFERROR(C43/SUM($C$42:$C$47),"")</f>
        <v>0</v>
      </c>
    </row>
    <row r="44" spans="1:4" x14ac:dyDescent="0.25">
      <c r="A44" s="65" t="s">
        <v>807</v>
      </c>
      <c r="B44" s="40"/>
      <c r="C44" s="53"/>
      <c r="D44" s="39">
        <f t="shared" si="1"/>
        <v>0</v>
      </c>
    </row>
    <row r="45" spans="1:4" x14ac:dyDescent="0.25">
      <c r="A45" s="65" t="s">
        <v>808</v>
      </c>
      <c r="B45" s="40"/>
      <c r="C45" s="53"/>
      <c r="D45" s="39">
        <f t="shared" si="1"/>
        <v>0</v>
      </c>
    </row>
    <row r="46" spans="1:4" x14ac:dyDescent="0.25">
      <c r="A46" s="65" t="s">
        <v>809</v>
      </c>
      <c r="B46" s="40"/>
      <c r="C46" s="53"/>
      <c r="D46" s="39">
        <f>IFERROR(C46/SUM($C$42:$C$47),"")</f>
        <v>0</v>
      </c>
    </row>
    <row r="47" spans="1:4" ht="15.75" thickBot="1" x14ac:dyDescent="0.3">
      <c r="A47" s="65" t="s">
        <v>810</v>
      </c>
      <c r="B47" s="23" t="s">
        <v>20</v>
      </c>
      <c r="C47" s="54">
        <v>0</v>
      </c>
      <c r="D47" s="106">
        <f t="shared" si="1"/>
        <v>0</v>
      </c>
    </row>
    <row r="49" spans="1:6" ht="15.75" thickBot="1" x14ac:dyDescent="0.3">
      <c r="B49" s="82" t="s">
        <v>493</v>
      </c>
    </row>
    <row r="50" spans="1:6" x14ac:dyDescent="0.25">
      <c r="B50" s="92" t="s">
        <v>597</v>
      </c>
      <c r="C50" s="20" t="s">
        <v>0</v>
      </c>
      <c r="D50" s="14" t="s">
        <v>3</v>
      </c>
    </row>
    <row r="51" spans="1:6" x14ac:dyDescent="0.25">
      <c r="A51" s="65" t="s">
        <v>812</v>
      </c>
      <c r="B51" s="17" t="s">
        <v>598</v>
      </c>
      <c r="C51" s="53">
        <v>614759728.95677197</v>
      </c>
      <c r="D51" s="55">
        <v>8000000</v>
      </c>
    </row>
    <row r="52" spans="1:6" x14ac:dyDescent="0.25">
      <c r="A52" s="65" t="s">
        <v>813</v>
      </c>
      <c r="B52" s="17" t="s">
        <v>599</v>
      </c>
      <c r="C52" s="53">
        <v>711248962.15508199</v>
      </c>
      <c r="D52" s="55">
        <v>3100000000</v>
      </c>
      <c r="F52" s="90"/>
    </row>
    <row r="53" spans="1:6" x14ac:dyDescent="0.25">
      <c r="A53" s="65" t="s">
        <v>814</v>
      </c>
      <c r="B53" s="17" t="s">
        <v>600</v>
      </c>
      <c r="C53" s="53">
        <v>827449315.08947802</v>
      </c>
      <c r="D53" s="55">
        <v>2500000000</v>
      </c>
      <c r="F53" s="90"/>
    </row>
    <row r="54" spans="1:6" x14ac:dyDescent="0.25">
      <c r="A54" s="65" t="s">
        <v>815</v>
      </c>
      <c r="B54" s="17" t="s">
        <v>601</v>
      </c>
      <c r="C54" s="53">
        <v>891920975.77294707</v>
      </c>
      <c r="D54" s="55">
        <v>2500000000</v>
      </c>
      <c r="F54" s="90"/>
    </row>
    <row r="55" spans="1:6" x14ac:dyDescent="0.25">
      <c r="A55" s="65" t="s">
        <v>816</v>
      </c>
      <c r="B55" s="17" t="s">
        <v>602</v>
      </c>
      <c r="C55" s="53">
        <v>840336014.99348497</v>
      </c>
      <c r="D55" s="55">
        <v>2500000000</v>
      </c>
      <c r="F55" s="90"/>
    </row>
    <row r="56" spans="1:6" x14ac:dyDescent="0.25">
      <c r="A56" s="65" t="s">
        <v>817</v>
      </c>
      <c r="B56" s="17" t="s">
        <v>603</v>
      </c>
      <c r="C56" s="53">
        <v>2687919919.5535932</v>
      </c>
      <c r="D56" s="55">
        <v>3250000000</v>
      </c>
      <c r="F56" s="90"/>
    </row>
    <row r="57" spans="1:6" ht="15.75" thickBot="1" x14ac:dyDescent="0.3">
      <c r="A57" s="65" t="s">
        <v>818</v>
      </c>
      <c r="B57" s="23" t="s">
        <v>604</v>
      </c>
      <c r="C57" s="54">
        <f>IF(SUM(C51:C56) &gt; 0, IFERROR(UM_CoverPoolBalance-SUM(C51:C56),""), 0)</f>
        <v>9582168410.8386421</v>
      </c>
      <c r="D57" s="107">
        <f>IF(SUM(C51:C56) &gt; 0, IFERROR(UM_CoveredBondsBalance-SUM(D51:D56),""), 0)</f>
        <v>400000000</v>
      </c>
      <c r="F57" s="90"/>
    </row>
    <row r="58" spans="1:6" x14ac:dyDescent="0.25">
      <c r="F58" s="90"/>
    </row>
    <row r="59" spans="1:6" ht="15.75" thickBot="1" x14ac:dyDescent="0.3">
      <c r="B59" s="76" t="s">
        <v>26</v>
      </c>
      <c r="C59" s="69"/>
      <c r="F59" s="90"/>
    </row>
    <row r="60" spans="1:6" ht="15.75" thickBot="1" x14ac:dyDescent="0.3">
      <c r="B60" s="94" t="s">
        <v>791</v>
      </c>
      <c r="C60" s="77" t="s">
        <v>27</v>
      </c>
      <c r="F60" s="90"/>
    </row>
    <row r="61" spans="1:6" x14ac:dyDescent="0.25">
      <c r="A61" s="65" t="s">
        <v>819</v>
      </c>
      <c r="B61" s="95" t="s">
        <v>1014</v>
      </c>
      <c r="C61" s="16" t="s">
        <v>45</v>
      </c>
      <c r="F61" s="90"/>
    </row>
    <row r="62" spans="1:6" x14ac:dyDescent="0.25">
      <c r="A62" s="65" t="s">
        <v>820</v>
      </c>
      <c r="B62" s="96" t="s">
        <v>1015</v>
      </c>
      <c r="C62" s="16" t="s">
        <v>563</v>
      </c>
      <c r="F62" s="90"/>
    </row>
    <row r="63" spans="1:6" x14ac:dyDescent="0.25">
      <c r="A63" s="65" t="s">
        <v>821</v>
      </c>
      <c r="B63" s="96" t="s">
        <v>1015</v>
      </c>
      <c r="C63" s="16" t="s">
        <v>46</v>
      </c>
      <c r="F63" s="90"/>
    </row>
    <row r="64" spans="1:6" x14ac:dyDescent="0.25">
      <c r="A64" s="65" t="s">
        <v>822</v>
      </c>
      <c r="B64" s="96" t="s">
        <v>1015</v>
      </c>
      <c r="C64" s="16" t="s">
        <v>605</v>
      </c>
      <c r="F64" s="90"/>
    </row>
    <row r="65" spans="1:6" x14ac:dyDescent="0.25">
      <c r="A65" s="65" t="s">
        <v>823</v>
      </c>
      <c r="B65" s="96" t="s">
        <v>1015</v>
      </c>
      <c r="C65" s="16" t="s">
        <v>564</v>
      </c>
      <c r="F65" s="90"/>
    </row>
    <row r="66" spans="1:6" x14ac:dyDescent="0.25">
      <c r="A66" s="65" t="s">
        <v>824</v>
      </c>
      <c r="B66" s="96" t="s">
        <v>1015</v>
      </c>
      <c r="C66" s="16" t="s">
        <v>47</v>
      </c>
      <c r="F66" s="90"/>
    </row>
    <row r="67" spans="1:6" x14ac:dyDescent="0.25">
      <c r="A67" s="65" t="s">
        <v>825</v>
      </c>
      <c r="B67" s="96" t="s">
        <v>1014</v>
      </c>
      <c r="C67" s="16" t="s">
        <v>48</v>
      </c>
      <c r="F67" s="90"/>
    </row>
    <row r="68" spans="1:6" x14ac:dyDescent="0.25">
      <c r="A68" s="65" t="s">
        <v>826</v>
      </c>
      <c r="B68" s="96" t="s">
        <v>1015</v>
      </c>
      <c r="C68" s="16" t="s">
        <v>49</v>
      </c>
      <c r="F68" s="90"/>
    </row>
    <row r="69" spans="1:6" ht="15.75" thickBot="1" x14ac:dyDescent="0.3">
      <c r="A69" s="65" t="s">
        <v>827</v>
      </c>
      <c r="B69" s="97" t="s">
        <v>1015</v>
      </c>
      <c r="C69" s="22" t="s">
        <v>50</v>
      </c>
      <c r="F69" s="90"/>
    </row>
    <row r="70" spans="1:6" x14ac:dyDescent="0.25">
      <c r="F70" s="90"/>
    </row>
    <row r="71" spans="1:6" ht="15.75" thickBot="1" x14ac:dyDescent="0.3">
      <c r="B71" s="76" t="s">
        <v>28</v>
      </c>
      <c r="C71" s="69"/>
      <c r="D71" s="69"/>
      <c r="F71" s="90"/>
    </row>
    <row r="72" spans="1:6" ht="15.75" thickBot="1" x14ac:dyDescent="0.3">
      <c r="B72" s="70" t="s">
        <v>30</v>
      </c>
      <c r="C72" s="71" t="s">
        <v>408</v>
      </c>
      <c r="D72" s="72" t="s">
        <v>29</v>
      </c>
      <c r="F72" s="90"/>
    </row>
    <row r="73" spans="1:6" x14ac:dyDescent="0.25">
      <c r="A73" s="65" t="s">
        <v>828</v>
      </c>
      <c r="B73" s="40" t="s">
        <v>1018</v>
      </c>
      <c r="C73" s="41" t="s">
        <v>1016</v>
      </c>
      <c r="D73" s="42" t="s">
        <v>594</v>
      </c>
      <c r="F73" s="90"/>
    </row>
    <row r="74" spans="1:6" x14ac:dyDescent="0.25">
      <c r="A74" s="65" t="s">
        <v>829</v>
      </c>
      <c r="B74" s="40" t="s">
        <v>1013</v>
      </c>
      <c r="C74" s="43" t="s">
        <v>1017</v>
      </c>
      <c r="D74" s="44" t="s">
        <v>594</v>
      </c>
      <c r="F74" s="90"/>
    </row>
    <row r="75" spans="1:6" x14ac:dyDescent="0.25">
      <c r="A75" s="65" t="s">
        <v>830</v>
      </c>
      <c r="B75" s="40"/>
      <c r="C75" s="41"/>
      <c r="D75" s="44"/>
      <c r="F75" s="90"/>
    </row>
    <row r="76" spans="1:6" x14ac:dyDescent="0.25">
      <c r="A76" s="65" t="s">
        <v>831</v>
      </c>
      <c r="B76" s="40"/>
      <c r="C76" s="43"/>
      <c r="D76" s="44"/>
      <c r="F76" s="90"/>
    </row>
    <row r="77" spans="1:6" x14ac:dyDescent="0.25">
      <c r="A77" s="65" t="s">
        <v>832</v>
      </c>
      <c r="B77" s="40"/>
      <c r="C77" s="43"/>
      <c r="D77" s="44"/>
      <c r="F77" s="90"/>
    </row>
    <row r="78" spans="1:6" x14ac:dyDescent="0.25">
      <c r="A78" s="65" t="s">
        <v>833</v>
      </c>
      <c r="B78" s="40"/>
      <c r="C78" s="43"/>
      <c r="D78" s="44"/>
      <c r="F78" s="90"/>
    </row>
    <row r="79" spans="1:6" x14ac:dyDescent="0.25">
      <c r="A79" s="65" t="s">
        <v>834</v>
      </c>
      <c r="B79" s="40"/>
      <c r="C79" s="43"/>
      <c r="D79" s="44"/>
      <c r="F79" s="90"/>
    </row>
    <row r="80" spans="1:6" x14ac:dyDescent="0.25">
      <c r="A80" s="65" t="s">
        <v>835</v>
      </c>
      <c r="B80" s="40"/>
      <c r="C80" s="43"/>
      <c r="D80" s="44"/>
      <c r="F80" s="90"/>
    </row>
    <row r="81" spans="1:4" x14ac:dyDescent="0.25">
      <c r="A81" s="65" t="s">
        <v>836</v>
      </c>
      <c r="B81" s="40"/>
      <c r="C81" s="43"/>
      <c r="D81" s="44"/>
    </row>
    <row r="82" spans="1:4" x14ac:dyDescent="0.25">
      <c r="A82" s="65" t="s">
        <v>837</v>
      </c>
      <c r="B82" s="40"/>
      <c r="C82" s="43"/>
      <c r="D82" s="44"/>
    </row>
    <row r="83" spans="1:4" x14ac:dyDescent="0.25">
      <c r="A83" s="65" t="s">
        <v>838</v>
      </c>
      <c r="B83" s="40"/>
      <c r="C83" s="43"/>
      <c r="D83" s="44"/>
    </row>
    <row r="84" spans="1:4" x14ac:dyDescent="0.25">
      <c r="A84" s="65" t="s">
        <v>839</v>
      </c>
      <c r="B84" s="40"/>
      <c r="C84" s="43"/>
      <c r="D84" s="44"/>
    </row>
    <row r="85" spans="1:4" x14ac:dyDescent="0.25">
      <c r="A85" s="65" t="s">
        <v>840</v>
      </c>
      <c r="B85" s="40"/>
      <c r="C85" s="43"/>
      <c r="D85" s="44"/>
    </row>
    <row r="86" spans="1:4" x14ac:dyDescent="0.25">
      <c r="A86" s="65" t="s">
        <v>841</v>
      </c>
      <c r="B86" s="40"/>
      <c r="C86" s="43"/>
      <c r="D86" s="44"/>
    </row>
    <row r="87" spans="1:4" x14ac:dyDescent="0.25">
      <c r="A87" s="65" t="s">
        <v>842</v>
      </c>
      <c r="B87" s="40"/>
      <c r="C87" s="43"/>
      <c r="D87" s="44"/>
    </row>
    <row r="88" spans="1:4" x14ac:dyDescent="0.25">
      <c r="A88" s="65" t="s">
        <v>843</v>
      </c>
      <c r="B88" s="40"/>
      <c r="C88" s="43"/>
      <c r="D88" s="44"/>
    </row>
    <row r="89" spans="1:4" x14ac:dyDescent="0.25">
      <c r="A89" s="65" t="s">
        <v>844</v>
      </c>
      <c r="B89" s="40"/>
      <c r="C89" s="43"/>
      <c r="D89" s="44"/>
    </row>
    <row r="90" spans="1:4" x14ac:dyDescent="0.25">
      <c r="A90" s="65" t="s">
        <v>845</v>
      </c>
      <c r="B90" s="40"/>
      <c r="C90" s="43"/>
      <c r="D90" s="44"/>
    </row>
    <row r="91" spans="1:4" x14ac:dyDescent="0.25">
      <c r="A91" s="65" t="s">
        <v>846</v>
      </c>
      <c r="B91" s="40"/>
      <c r="C91" s="43"/>
      <c r="D91" s="44"/>
    </row>
    <row r="92" spans="1:4" x14ac:dyDescent="0.25">
      <c r="A92" s="65" t="s">
        <v>847</v>
      </c>
      <c r="B92" s="40"/>
      <c r="C92" s="43"/>
      <c r="D92" s="44"/>
    </row>
    <row r="93" spans="1:4" x14ac:dyDescent="0.25">
      <c r="A93" s="65" t="s">
        <v>848</v>
      </c>
      <c r="B93" s="40"/>
      <c r="C93" s="43"/>
      <c r="D93" s="44"/>
    </row>
    <row r="94" spans="1:4" x14ac:dyDescent="0.25">
      <c r="A94" s="65" t="s">
        <v>849</v>
      </c>
      <c r="B94" s="40"/>
      <c r="C94" s="43"/>
      <c r="D94" s="44"/>
    </row>
    <row r="95" spans="1:4" x14ac:dyDescent="0.25">
      <c r="A95" s="65" t="s">
        <v>850</v>
      </c>
      <c r="B95" s="40"/>
      <c r="C95" s="43"/>
      <c r="D95" s="44"/>
    </row>
    <row r="96" spans="1:4" x14ac:dyDescent="0.25">
      <c r="A96" s="65" t="s">
        <v>851</v>
      </c>
      <c r="B96" s="40"/>
      <c r="C96" s="43"/>
      <c r="D96" s="44"/>
    </row>
    <row r="97" spans="1:4" x14ac:dyDescent="0.25">
      <c r="A97" s="65" t="s">
        <v>852</v>
      </c>
      <c r="B97" s="40"/>
      <c r="C97" s="43"/>
      <c r="D97" s="44"/>
    </row>
    <row r="98" spans="1:4" x14ac:dyDescent="0.25">
      <c r="A98" s="65" t="s">
        <v>853</v>
      </c>
      <c r="B98" s="40"/>
      <c r="C98" s="43"/>
      <c r="D98" s="44"/>
    </row>
    <row r="99" spans="1:4" x14ac:dyDescent="0.25">
      <c r="A99" s="65" t="s">
        <v>854</v>
      </c>
      <c r="B99" s="40"/>
      <c r="C99" s="43"/>
      <c r="D99" s="44"/>
    </row>
    <row r="100" spans="1:4" x14ac:dyDescent="0.25">
      <c r="A100" s="65" t="s">
        <v>855</v>
      </c>
      <c r="B100" s="40"/>
      <c r="C100" s="43"/>
      <c r="D100" s="44"/>
    </row>
    <row r="101" spans="1:4" x14ac:dyDescent="0.25">
      <c r="A101" s="65" t="s">
        <v>856</v>
      </c>
      <c r="B101" s="40"/>
      <c r="C101" s="43"/>
      <c r="D101" s="44"/>
    </row>
    <row r="102" spans="1:4" x14ac:dyDescent="0.25">
      <c r="A102" s="65" t="s">
        <v>857</v>
      </c>
      <c r="B102" s="40"/>
      <c r="C102" s="43"/>
      <c r="D102" s="44"/>
    </row>
    <row r="103" spans="1:4" x14ac:dyDescent="0.25">
      <c r="A103" s="65" t="s">
        <v>858</v>
      </c>
      <c r="B103" s="40"/>
      <c r="C103" s="43"/>
      <c r="D103" s="44"/>
    </row>
    <row r="104" spans="1:4" x14ac:dyDescent="0.25">
      <c r="A104" s="65" t="s">
        <v>931</v>
      </c>
      <c r="B104" s="40"/>
      <c r="C104" s="43"/>
      <c r="D104" s="44"/>
    </row>
    <row r="105" spans="1:4" x14ac:dyDescent="0.25">
      <c r="A105" s="65" t="s">
        <v>932</v>
      </c>
      <c r="B105" s="40"/>
      <c r="C105" s="43"/>
      <c r="D105" s="44"/>
    </row>
    <row r="106" spans="1:4" x14ac:dyDescent="0.25">
      <c r="A106" s="65" t="s">
        <v>933</v>
      </c>
      <c r="B106" s="40"/>
      <c r="C106" s="43"/>
      <c r="D106" s="44"/>
    </row>
    <row r="107" spans="1:4" x14ac:dyDescent="0.25">
      <c r="A107" s="65" t="s">
        <v>934</v>
      </c>
      <c r="B107" s="40"/>
      <c r="C107" s="43"/>
      <c r="D107" s="44"/>
    </row>
    <row r="108" spans="1:4" x14ac:dyDescent="0.25">
      <c r="A108" s="65" t="s">
        <v>935</v>
      </c>
      <c r="B108" s="40"/>
      <c r="C108" s="43"/>
      <c r="D108" s="44"/>
    </row>
    <row r="109" spans="1:4" x14ac:dyDescent="0.25">
      <c r="A109" s="65" t="s">
        <v>936</v>
      </c>
      <c r="B109" s="40"/>
      <c r="C109" s="43"/>
      <c r="D109" s="44"/>
    </row>
    <row r="110" spans="1:4" ht="15.75" thickBot="1" x14ac:dyDescent="0.3">
      <c r="A110" s="65" t="s">
        <v>937</v>
      </c>
      <c r="B110" s="73"/>
      <c r="C110" s="74"/>
      <c r="D110" s="51"/>
    </row>
    <row r="112" spans="1:4" ht="15.75" thickBot="1" x14ac:dyDescent="0.3">
      <c r="B112" s="81" t="s">
        <v>488</v>
      </c>
    </row>
    <row r="113" spans="1:30" ht="15.75" thickBot="1" x14ac:dyDescent="0.3">
      <c r="B113" s="70" t="s">
        <v>6</v>
      </c>
      <c r="C113" s="71" t="s">
        <v>24</v>
      </c>
      <c r="D113" s="72" t="s">
        <v>33</v>
      </c>
    </row>
    <row r="114" spans="1:30" x14ac:dyDescent="0.25">
      <c r="A114" s="65" t="s">
        <v>859</v>
      </c>
      <c r="B114" s="40" t="s">
        <v>16</v>
      </c>
      <c r="C114" s="41" t="s">
        <v>16</v>
      </c>
      <c r="D114" s="80">
        <f>IF(OR(ISERROR(UM_Asset1Balance),UM_Asset1Balance=0),"",UM_Asset1Balance)</f>
        <v>15791572078</v>
      </c>
    </row>
    <row r="115" spans="1:30" x14ac:dyDescent="0.25">
      <c r="A115" s="65" t="s">
        <v>860</v>
      </c>
      <c r="B115" s="40"/>
      <c r="C115" s="43"/>
      <c r="D115" s="56" t="str">
        <f>IF(OR(ISERROR(UM_Asset2Balance),UM_Asset2Balance=0),"",UM_Asset2Balance)</f>
        <v/>
      </c>
    </row>
    <row r="116" spans="1:30" x14ac:dyDescent="0.25">
      <c r="A116" s="65" t="s">
        <v>861</v>
      </c>
      <c r="B116" s="40"/>
      <c r="C116" s="43"/>
      <c r="D116" s="56" t="str">
        <f>IF(OR(ISERROR(UM_Asset3Balance),UM_Asset3Balance=0),"",UM_Asset3Balance)</f>
        <v/>
      </c>
    </row>
    <row r="117" spans="1:30" x14ac:dyDescent="0.25">
      <c r="A117" s="65" t="s">
        <v>862</v>
      </c>
      <c r="B117" s="40"/>
      <c r="C117" s="43"/>
      <c r="D117" s="56" t="str">
        <f>IF(OR(ISERROR(UM_Asset4Balance),UM_Asset4Balance=0),"",UM_Asset4Balance)</f>
        <v/>
      </c>
    </row>
    <row r="118" spans="1:30" x14ac:dyDescent="0.25">
      <c r="A118" s="65" t="s">
        <v>863</v>
      </c>
      <c r="B118" s="40"/>
      <c r="C118" s="49"/>
      <c r="D118" s="56" t="str">
        <f>IF(OR(ISERROR(UM_Asset5Balance),UM_Asset5Balance=0),"",UM_Asset5Balance)</f>
        <v/>
      </c>
    </row>
    <row r="119" spans="1:30" x14ac:dyDescent="0.25">
      <c r="A119" s="65" t="s">
        <v>864</v>
      </c>
      <c r="B119" s="40"/>
      <c r="C119" s="43"/>
      <c r="D119" s="56" t="str">
        <f>IF(OR(ISERROR(UM_Asset6Balance),UM_Asset6Balance=0),"",UM_Asset6Balance)</f>
        <v/>
      </c>
    </row>
    <row r="120" spans="1:30" x14ac:dyDescent="0.25">
      <c r="A120" s="65" t="s">
        <v>865</v>
      </c>
      <c r="B120" s="40"/>
      <c r="C120" s="43"/>
      <c r="D120" s="56" t="str">
        <f>IF(OR(ISERROR(UM_Asset7Balance),UM_Asset7Balance=0),"",UM_Asset7Balance)</f>
        <v/>
      </c>
    </row>
    <row r="121" spans="1:30" x14ac:dyDescent="0.25">
      <c r="A121" s="65" t="s">
        <v>866</v>
      </c>
      <c r="B121" s="40"/>
      <c r="C121" s="43"/>
      <c r="D121" s="56" t="str">
        <f>IF(OR(ISERROR(UM_Asset8Balance),UM_Asset8Balance=0),"",UM_Asset8Balance)</f>
        <v/>
      </c>
    </row>
    <row r="122" spans="1:30" x14ac:dyDescent="0.25">
      <c r="A122" s="65" t="s">
        <v>867</v>
      </c>
      <c r="B122" s="40"/>
      <c r="C122" s="43"/>
      <c r="D122" s="56" t="str">
        <f>IF(OR(ISERROR(UM_Asset9Balance),UM_Asset9Balance=0),"",UM_Asset9Balance)</f>
        <v/>
      </c>
    </row>
    <row r="123" spans="1:30" ht="15.75" thickBot="1" x14ac:dyDescent="0.3">
      <c r="A123" s="65" t="s">
        <v>868</v>
      </c>
      <c r="B123" s="73"/>
      <c r="C123" s="78"/>
      <c r="D123" s="79" t="str">
        <f>IF(OR(ISERROR(UM_Asset10Balance),UM_Asset10Balance=0),"",UM_Asset10Balance)</f>
        <v/>
      </c>
    </row>
    <row r="124" spans="1:30" x14ac:dyDescent="0.25">
      <c r="B124" s="84"/>
      <c r="C124" s="85"/>
      <c r="D124" s="83"/>
    </row>
    <row r="125" spans="1:30" ht="15.75" thickBot="1" x14ac:dyDescent="0.3">
      <c r="B125" s="86" t="s">
        <v>51</v>
      </c>
    </row>
    <row r="126" spans="1:30" x14ac:dyDescent="0.25">
      <c r="B126" s="28" t="str">
        <f>C114</f>
        <v>Residential</v>
      </c>
      <c r="C126" s="14" t="s">
        <v>33</v>
      </c>
      <c r="D126" s="69"/>
      <c r="E126" s="28">
        <f>C115</f>
        <v>0</v>
      </c>
      <c r="F126" s="14" t="s">
        <v>33</v>
      </c>
      <c r="G126" s="69"/>
      <c r="H126" s="28">
        <f>C116</f>
        <v>0</v>
      </c>
      <c r="I126" s="14" t="s">
        <v>33</v>
      </c>
      <c r="J126" s="69"/>
      <c r="K126" s="28">
        <f>C117</f>
        <v>0</v>
      </c>
      <c r="L126" s="14" t="s">
        <v>33</v>
      </c>
      <c r="M126" s="69"/>
      <c r="N126" s="28">
        <f>C118</f>
        <v>0</v>
      </c>
      <c r="O126" s="14" t="s">
        <v>33</v>
      </c>
      <c r="P126" s="69"/>
      <c r="Q126" s="28">
        <f>C119</f>
        <v>0</v>
      </c>
      <c r="R126" s="14" t="s">
        <v>33</v>
      </c>
      <c r="S126" s="69"/>
      <c r="T126" s="28">
        <f>C120</f>
        <v>0</v>
      </c>
      <c r="U126" s="14" t="s">
        <v>33</v>
      </c>
      <c r="V126" s="69"/>
      <c r="W126" s="28">
        <f>C121</f>
        <v>0</v>
      </c>
      <c r="X126" s="14" t="s">
        <v>33</v>
      </c>
      <c r="Y126" s="69"/>
      <c r="Z126" s="28">
        <f>C122</f>
        <v>0</v>
      </c>
      <c r="AA126" s="14" t="s">
        <v>33</v>
      </c>
      <c r="AB126" s="69"/>
      <c r="AC126" s="28">
        <f>C123</f>
        <v>0</v>
      </c>
      <c r="AD126" s="14" t="s">
        <v>33</v>
      </c>
    </row>
    <row r="127" spans="1:30" x14ac:dyDescent="0.25">
      <c r="A127" s="65" t="s">
        <v>920</v>
      </c>
      <c r="B127" s="17" t="s">
        <v>2</v>
      </c>
      <c r="C127" s="98">
        <v>15791572078</v>
      </c>
      <c r="D127" s="69"/>
      <c r="E127" s="17" t="s">
        <v>2</v>
      </c>
      <c r="F127" s="98"/>
      <c r="G127" s="69"/>
      <c r="H127" s="17" t="s">
        <v>2</v>
      </c>
      <c r="I127" s="98"/>
      <c r="J127" s="69"/>
      <c r="K127" s="17" t="s">
        <v>2</v>
      </c>
      <c r="L127" s="98"/>
      <c r="M127" s="69"/>
      <c r="N127" s="17" t="s">
        <v>2</v>
      </c>
      <c r="O127" s="98"/>
      <c r="P127" s="69"/>
      <c r="Q127" s="17" t="s">
        <v>2</v>
      </c>
      <c r="R127" s="98"/>
      <c r="S127" s="69"/>
      <c r="T127" s="17" t="s">
        <v>2</v>
      </c>
      <c r="U127" s="98"/>
      <c r="V127" s="69"/>
      <c r="W127" s="17" t="s">
        <v>2</v>
      </c>
      <c r="X127" s="98"/>
      <c r="Y127" s="69"/>
      <c r="Z127" s="17" t="s">
        <v>2</v>
      </c>
      <c r="AA127" s="98"/>
      <c r="AB127" s="69"/>
      <c r="AC127" s="17" t="s">
        <v>2</v>
      </c>
      <c r="AD127" s="98"/>
    </row>
    <row r="128" spans="1:30" x14ac:dyDescent="0.25">
      <c r="A128" s="65" t="s">
        <v>921</v>
      </c>
      <c r="B128" s="17" t="s">
        <v>7</v>
      </c>
      <c r="C128" s="48">
        <v>9780</v>
      </c>
      <c r="D128" s="69"/>
      <c r="E128" s="17" t="s">
        <v>7</v>
      </c>
      <c r="F128" s="48"/>
      <c r="G128" s="69"/>
      <c r="H128" s="17" t="s">
        <v>7</v>
      </c>
      <c r="I128" s="48"/>
      <c r="J128" s="69"/>
      <c r="K128" s="17" t="s">
        <v>7</v>
      </c>
      <c r="L128" s="48"/>
      <c r="M128" s="69"/>
      <c r="N128" s="17" t="s">
        <v>7</v>
      </c>
      <c r="O128" s="48"/>
      <c r="P128" s="69"/>
      <c r="Q128" s="17" t="s">
        <v>7</v>
      </c>
      <c r="R128" s="48"/>
      <c r="S128" s="69"/>
      <c r="T128" s="17" t="s">
        <v>7</v>
      </c>
      <c r="U128" s="48"/>
      <c r="V128" s="69"/>
      <c r="W128" s="17" t="s">
        <v>7</v>
      </c>
      <c r="X128" s="48"/>
      <c r="Y128" s="69"/>
      <c r="Z128" s="17" t="s">
        <v>7</v>
      </c>
      <c r="AA128" s="48"/>
      <c r="AB128" s="69"/>
      <c r="AC128" s="17" t="s">
        <v>7</v>
      </c>
      <c r="AD128" s="48"/>
    </row>
    <row r="129" spans="1:30" x14ac:dyDescent="0.25">
      <c r="A129" s="65" t="s">
        <v>922</v>
      </c>
      <c r="B129" s="17" t="s">
        <v>8</v>
      </c>
      <c r="C129" s="34">
        <f>IFERROR(UM_Asset1Balance/UM_Asset1NumberOfLoans,"")</f>
        <v>1614680.1715746422</v>
      </c>
      <c r="D129" s="69"/>
      <c r="E129" s="17" t="s">
        <v>8</v>
      </c>
      <c r="F129" s="34" t="str">
        <f>IFERROR(UM_Asset2Balance/UM_Asset2NumberOfLoans,"")</f>
        <v/>
      </c>
      <c r="G129" s="69"/>
      <c r="H129" s="17" t="s">
        <v>8</v>
      </c>
      <c r="I129" s="34" t="str">
        <f>IFERROR(UM_Asset3Balance/UM_Asset3NumberOfLoans,"")</f>
        <v/>
      </c>
      <c r="J129" s="69"/>
      <c r="K129" s="17" t="s">
        <v>8</v>
      </c>
      <c r="L129" s="34" t="str">
        <f>IFERROR(UM_Asset4Balance/UM_Asset4NumberOfLoans,"")</f>
        <v/>
      </c>
      <c r="M129" s="69"/>
      <c r="N129" s="17" t="s">
        <v>8</v>
      </c>
      <c r="O129" s="34" t="str">
        <f>IFERROR(UM_Asset5Balance/UM_Asset5NumberOfLoans,"")</f>
        <v/>
      </c>
      <c r="P129" s="69"/>
      <c r="Q129" s="17" t="s">
        <v>8</v>
      </c>
      <c r="R129" s="34" t="str">
        <f>IFERROR(UM_Asset6Balance/UM_Asset6NumberOfLoans,"")</f>
        <v/>
      </c>
      <c r="S129" s="69"/>
      <c r="T129" s="17" t="s">
        <v>8</v>
      </c>
      <c r="U129" s="34" t="str">
        <f>IFERROR(UM_Asset7Balance/UM_Asset7NumberOfLoans,"")</f>
        <v/>
      </c>
      <c r="V129" s="69"/>
      <c r="W129" s="17" t="s">
        <v>8</v>
      </c>
      <c r="X129" s="34" t="str">
        <f>IFERROR(UM_Asset8Balance/UM_Asset8NumberOfLoans,"")</f>
        <v/>
      </c>
      <c r="Y129" s="69"/>
      <c r="Z129" s="17" t="s">
        <v>8</v>
      </c>
      <c r="AA129" s="34" t="str">
        <f>IFERROR(UM_Asset9Balance/UM_Asset9NumberOfLoans,"")</f>
        <v/>
      </c>
      <c r="AB129" s="69"/>
      <c r="AC129" s="17" t="s">
        <v>8</v>
      </c>
      <c r="AD129" s="34" t="str">
        <f>IFERROR(UM_Asset10Balance/UM_Asset10NumberOfLoans,"")</f>
        <v/>
      </c>
    </row>
    <row r="130" spans="1:30" x14ac:dyDescent="0.25">
      <c r="B130" s="15"/>
      <c r="C130" s="16"/>
      <c r="D130" s="69"/>
      <c r="E130" s="15"/>
      <c r="F130" s="16"/>
      <c r="G130" s="69"/>
      <c r="H130" s="15"/>
      <c r="I130" s="16"/>
      <c r="J130" s="69"/>
      <c r="K130" s="15"/>
      <c r="L130" s="16"/>
      <c r="M130" s="69"/>
      <c r="N130" s="15"/>
      <c r="O130" s="16"/>
      <c r="P130" s="69"/>
      <c r="Q130" s="15"/>
      <c r="R130" s="16"/>
      <c r="S130" s="69"/>
      <c r="T130" s="15"/>
      <c r="U130" s="16"/>
      <c r="V130" s="69"/>
      <c r="W130" s="15"/>
      <c r="X130" s="16"/>
      <c r="Y130" s="69"/>
      <c r="Z130" s="15"/>
      <c r="AA130" s="16"/>
      <c r="AB130" s="69"/>
      <c r="AC130" s="15"/>
      <c r="AD130" s="16"/>
    </row>
    <row r="131" spans="1:30" x14ac:dyDescent="0.25">
      <c r="A131" s="65" t="s">
        <v>923</v>
      </c>
      <c r="B131" s="17" t="s">
        <v>18</v>
      </c>
      <c r="C131" s="45">
        <v>0</v>
      </c>
      <c r="D131" s="88"/>
      <c r="E131" s="17" t="s">
        <v>18</v>
      </c>
      <c r="F131" s="45"/>
      <c r="G131" s="88"/>
      <c r="H131" s="17" t="s">
        <v>18</v>
      </c>
      <c r="I131" s="98"/>
      <c r="J131" s="88"/>
      <c r="K131" s="17" t="s">
        <v>18</v>
      </c>
      <c r="L131" s="98"/>
      <c r="M131" s="88"/>
      <c r="N131" s="17" t="s">
        <v>18</v>
      </c>
      <c r="O131" s="98"/>
      <c r="P131" s="88"/>
      <c r="Q131" s="17" t="s">
        <v>18</v>
      </c>
      <c r="R131" s="98"/>
      <c r="S131" s="88"/>
      <c r="T131" s="17" t="s">
        <v>18</v>
      </c>
      <c r="U131" s="98"/>
      <c r="V131" s="88"/>
      <c r="W131" s="17" t="s">
        <v>18</v>
      </c>
      <c r="X131" s="98"/>
      <c r="Y131" s="88"/>
      <c r="Z131" s="17" t="s">
        <v>18</v>
      </c>
      <c r="AA131" s="98"/>
      <c r="AB131" s="88"/>
      <c r="AC131" s="17" t="s">
        <v>18</v>
      </c>
      <c r="AD131" s="98"/>
    </row>
    <row r="132" spans="1:30" ht="15.75" thickBot="1" x14ac:dyDescent="0.3">
      <c r="A132" s="65" t="s">
        <v>924</v>
      </c>
      <c r="B132" s="17" t="s">
        <v>19</v>
      </c>
      <c r="C132" s="45">
        <v>15791572078</v>
      </c>
      <c r="D132" s="88"/>
      <c r="E132" s="17" t="s">
        <v>19</v>
      </c>
      <c r="F132" s="46"/>
      <c r="G132" s="88"/>
      <c r="H132" s="17" t="s">
        <v>19</v>
      </c>
      <c r="I132" s="99"/>
      <c r="J132" s="88"/>
      <c r="K132" s="17" t="s">
        <v>19</v>
      </c>
      <c r="L132" s="99"/>
      <c r="M132" s="88"/>
      <c r="N132" s="17" t="s">
        <v>19</v>
      </c>
      <c r="O132" s="99"/>
      <c r="P132" s="88"/>
      <c r="Q132" s="17" t="s">
        <v>19</v>
      </c>
      <c r="R132" s="99"/>
      <c r="S132" s="88"/>
      <c r="T132" s="17" t="s">
        <v>19</v>
      </c>
      <c r="U132" s="99"/>
      <c r="V132" s="88"/>
      <c r="W132" s="17" t="s">
        <v>19</v>
      </c>
      <c r="X132" s="99"/>
      <c r="Y132" s="88"/>
      <c r="Z132" s="17" t="s">
        <v>19</v>
      </c>
      <c r="AA132" s="99"/>
      <c r="AB132" s="88"/>
      <c r="AC132" s="17" t="s">
        <v>19</v>
      </c>
      <c r="AD132" s="99"/>
    </row>
    <row r="133" spans="1:30" x14ac:dyDescent="0.25">
      <c r="A133" s="65" t="s">
        <v>869</v>
      </c>
      <c r="B133" s="103" t="s">
        <v>556</v>
      </c>
      <c r="C133" s="100" t="s">
        <v>558</v>
      </c>
      <c r="D133" s="88"/>
      <c r="E133" s="103" t="s">
        <v>556</v>
      </c>
      <c r="F133" s="47"/>
      <c r="G133" s="88"/>
      <c r="H133" s="103" t="s">
        <v>556</v>
      </c>
      <c r="I133" s="47"/>
      <c r="J133" s="88"/>
      <c r="K133" s="103" t="s">
        <v>556</v>
      </c>
      <c r="L133" s="47"/>
      <c r="M133" s="88"/>
      <c r="N133" s="103" t="s">
        <v>556</v>
      </c>
      <c r="O133" s="47"/>
      <c r="P133" s="88"/>
      <c r="Q133" s="103" t="s">
        <v>556</v>
      </c>
      <c r="R133" s="47"/>
      <c r="S133" s="88"/>
      <c r="T133" s="103" t="s">
        <v>556</v>
      </c>
      <c r="U133" s="47"/>
      <c r="V133" s="88"/>
      <c r="W133" s="103" t="s">
        <v>556</v>
      </c>
      <c r="X133" s="47"/>
      <c r="Y133" s="88"/>
      <c r="Z133" s="103" t="s">
        <v>556</v>
      </c>
      <c r="AA133" s="47"/>
      <c r="AB133" s="88"/>
      <c r="AC133" s="103" t="s">
        <v>556</v>
      </c>
      <c r="AD133" s="47"/>
    </row>
    <row r="134" spans="1:30" x14ac:dyDescent="0.25">
      <c r="A134" s="65" t="s">
        <v>870</v>
      </c>
      <c r="B134" s="104" t="s">
        <v>10</v>
      </c>
      <c r="C134" s="101">
        <v>4840343423</v>
      </c>
      <c r="D134" s="88"/>
      <c r="E134" s="104" t="s">
        <v>10</v>
      </c>
      <c r="F134" s="45"/>
      <c r="G134" s="88"/>
      <c r="H134" s="104" t="s">
        <v>10</v>
      </c>
      <c r="I134" s="98"/>
      <c r="J134" s="88"/>
      <c r="K134" s="104" t="s">
        <v>10</v>
      </c>
      <c r="L134" s="98"/>
      <c r="M134" s="88"/>
      <c r="N134" s="104" t="s">
        <v>10</v>
      </c>
      <c r="O134" s="98"/>
      <c r="P134" s="88"/>
      <c r="Q134" s="104" t="s">
        <v>10</v>
      </c>
      <c r="R134" s="98"/>
      <c r="S134" s="88"/>
      <c r="T134" s="104" t="s">
        <v>10</v>
      </c>
      <c r="U134" s="98"/>
      <c r="V134" s="88"/>
      <c r="W134" s="104" t="s">
        <v>10</v>
      </c>
      <c r="X134" s="98"/>
      <c r="Y134" s="88"/>
      <c r="Z134" s="104" t="s">
        <v>10</v>
      </c>
      <c r="AA134" s="98"/>
      <c r="AB134" s="88"/>
      <c r="AC134" s="104" t="s">
        <v>10</v>
      </c>
      <c r="AD134" s="98"/>
    </row>
    <row r="135" spans="1:30" x14ac:dyDescent="0.25">
      <c r="A135" s="65" t="s">
        <v>871</v>
      </c>
      <c r="B135" s="104" t="s">
        <v>11</v>
      </c>
      <c r="C135" s="101">
        <v>3417006449</v>
      </c>
      <c r="D135" s="88"/>
      <c r="E135" s="104" t="s">
        <v>11</v>
      </c>
      <c r="F135" s="45"/>
      <c r="G135" s="88"/>
      <c r="H135" s="104" t="s">
        <v>11</v>
      </c>
      <c r="I135" s="98"/>
      <c r="J135" s="88"/>
      <c r="K135" s="104" t="s">
        <v>11</v>
      </c>
      <c r="L135" s="98"/>
      <c r="M135" s="88"/>
      <c r="N135" s="104" t="s">
        <v>11</v>
      </c>
      <c r="O135" s="98"/>
      <c r="P135" s="88"/>
      <c r="Q135" s="104" t="s">
        <v>11</v>
      </c>
      <c r="R135" s="98"/>
      <c r="S135" s="88"/>
      <c r="T135" s="104" t="s">
        <v>11</v>
      </c>
      <c r="U135" s="98"/>
      <c r="V135" s="88"/>
      <c r="W135" s="104" t="s">
        <v>11</v>
      </c>
      <c r="X135" s="98"/>
      <c r="Y135" s="88"/>
      <c r="Z135" s="104" t="s">
        <v>11</v>
      </c>
      <c r="AA135" s="98"/>
      <c r="AB135" s="88"/>
      <c r="AC135" s="104" t="s">
        <v>11</v>
      </c>
      <c r="AD135" s="98"/>
    </row>
    <row r="136" spans="1:30" x14ac:dyDescent="0.25">
      <c r="A136" s="65" t="s">
        <v>872</v>
      </c>
      <c r="B136" s="104" t="s">
        <v>12</v>
      </c>
      <c r="C136" s="101">
        <v>3445959557</v>
      </c>
      <c r="D136" s="88"/>
      <c r="E136" s="104" t="s">
        <v>12</v>
      </c>
      <c r="F136" s="45"/>
      <c r="G136" s="88"/>
      <c r="H136" s="104" t="s">
        <v>12</v>
      </c>
      <c r="I136" s="98"/>
      <c r="J136" s="88"/>
      <c r="K136" s="104" t="s">
        <v>12</v>
      </c>
      <c r="L136" s="98"/>
      <c r="M136" s="88"/>
      <c r="N136" s="104" t="s">
        <v>12</v>
      </c>
      <c r="O136" s="98"/>
      <c r="P136" s="88"/>
      <c r="Q136" s="104" t="s">
        <v>12</v>
      </c>
      <c r="R136" s="98"/>
      <c r="S136" s="88"/>
      <c r="T136" s="104" t="s">
        <v>12</v>
      </c>
      <c r="U136" s="98"/>
      <c r="V136" s="88"/>
      <c r="W136" s="104" t="s">
        <v>12</v>
      </c>
      <c r="X136" s="98"/>
      <c r="Y136" s="88"/>
      <c r="Z136" s="104" t="s">
        <v>12</v>
      </c>
      <c r="AA136" s="98"/>
      <c r="AB136" s="88"/>
      <c r="AC136" s="104" t="s">
        <v>12</v>
      </c>
      <c r="AD136" s="98"/>
    </row>
    <row r="137" spans="1:30" x14ac:dyDescent="0.25">
      <c r="A137" s="65" t="s">
        <v>873</v>
      </c>
      <c r="B137" s="104" t="s">
        <v>13</v>
      </c>
      <c r="C137" s="101">
        <v>2591684723</v>
      </c>
      <c r="E137" s="104" t="s">
        <v>13</v>
      </c>
      <c r="F137" s="45"/>
      <c r="H137" s="104" t="s">
        <v>13</v>
      </c>
      <c r="I137" s="98"/>
      <c r="K137" s="104" t="s">
        <v>13</v>
      </c>
      <c r="L137" s="98"/>
      <c r="N137" s="104" t="s">
        <v>13</v>
      </c>
      <c r="O137" s="98"/>
      <c r="Q137" s="104" t="s">
        <v>13</v>
      </c>
      <c r="R137" s="98"/>
      <c r="T137" s="104" t="s">
        <v>13</v>
      </c>
      <c r="U137" s="98"/>
      <c r="W137" s="104" t="s">
        <v>13</v>
      </c>
      <c r="X137" s="98"/>
      <c r="Z137" s="104" t="s">
        <v>13</v>
      </c>
      <c r="AA137" s="98"/>
      <c r="AC137" s="104" t="s">
        <v>13</v>
      </c>
      <c r="AD137" s="98"/>
    </row>
    <row r="138" spans="1:30" x14ac:dyDescent="0.25">
      <c r="A138" s="65" t="s">
        <v>874</v>
      </c>
      <c r="B138" s="104" t="s">
        <v>14</v>
      </c>
      <c r="C138" s="101">
        <v>1389181711</v>
      </c>
      <c r="E138" s="104" t="s">
        <v>14</v>
      </c>
      <c r="F138" s="45"/>
      <c r="H138" s="104" t="s">
        <v>14</v>
      </c>
      <c r="I138" s="98"/>
      <c r="K138" s="104" t="s">
        <v>14</v>
      </c>
      <c r="L138" s="98"/>
      <c r="N138" s="104" t="s">
        <v>14</v>
      </c>
      <c r="O138" s="98"/>
      <c r="Q138" s="104" t="s">
        <v>14</v>
      </c>
      <c r="R138" s="98"/>
      <c r="T138" s="104" t="s">
        <v>14</v>
      </c>
      <c r="U138" s="98"/>
      <c r="W138" s="104" t="s">
        <v>14</v>
      </c>
      <c r="X138" s="98"/>
      <c r="Z138" s="104" t="s">
        <v>14</v>
      </c>
      <c r="AA138" s="98"/>
      <c r="AC138" s="104" t="s">
        <v>14</v>
      </c>
      <c r="AD138" s="98"/>
    </row>
    <row r="139" spans="1:30" x14ac:dyDescent="0.25">
      <c r="A139" s="65" t="s">
        <v>875</v>
      </c>
      <c r="B139" s="104" t="s">
        <v>612</v>
      </c>
      <c r="C139" s="101">
        <v>78849762</v>
      </c>
      <c r="E139" s="104" t="s">
        <v>612</v>
      </c>
      <c r="F139" s="45"/>
      <c r="H139" s="104" t="s">
        <v>612</v>
      </c>
      <c r="I139" s="98"/>
      <c r="K139" s="104" t="s">
        <v>612</v>
      </c>
      <c r="L139" s="98"/>
      <c r="N139" s="104" t="s">
        <v>612</v>
      </c>
      <c r="O139" s="98"/>
      <c r="Q139" s="104" t="s">
        <v>612</v>
      </c>
      <c r="R139" s="98"/>
      <c r="T139" s="104" t="s">
        <v>612</v>
      </c>
      <c r="U139" s="98"/>
      <c r="W139" s="104" t="s">
        <v>612</v>
      </c>
      <c r="X139" s="98"/>
      <c r="Z139" s="104" t="s">
        <v>612</v>
      </c>
      <c r="AA139" s="98"/>
      <c r="AC139" s="104" t="s">
        <v>612</v>
      </c>
      <c r="AD139" s="98"/>
    </row>
    <row r="140" spans="1:30" x14ac:dyDescent="0.25">
      <c r="A140" s="65" t="s">
        <v>876</v>
      </c>
      <c r="B140" s="104" t="s">
        <v>613</v>
      </c>
      <c r="C140" s="101">
        <v>18272829</v>
      </c>
      <c r="E140" s="104" t="s">
        <v>613</v>
      </c>
      <c r="F140" s="45"/>
      <c r="H140" s="104" t="s">
        <v>613</v>
      </c>
      <c r="I140" s="98"/>
      <c r="K140" s="104" t="s">
        <v>613</v>
      </c>
      <c r="L140" s="98"/>
      <c r="N140" s="104" t="s">
        <v>613</v>
      </c>
      <c r="O140" s="98"/>
      <c r="Q140" s="104" t="s">
        <v>613</v>
      </c>
      <c r="R140" s="98"/>
      <c r="T140" s="104" t="s">
        <v>613</v>
      </c>
      <c r="U140" s="98"/>
      <c r="W140" s="104" t="s">
        <v>613</v>
      </c>
      <c r="X140" s="98"/>
      <c r="Z140" s="104" t="s">
        <v>613</v>
      </c>
      <c r="AA140" s="98"/>
      <c r="AC140" s="104" t="s">
        <v>613</v>
      </c>
      <c r="AD140" s="98"/>
    </row>
    <row r="141" spans="1:30" x14ac:dyDescent="0.25">
      <c r="A141" s="65" t="s">
        <v>877</v>
      </c>
      <c r="B141" s="104" t="s">
        <v>614</v>
      </c>
      <c r="C141" s="101">
        <v>10273624</v>
      </c>
      <c r="E141" s="104" t="s">
        <v>614</v>
      </c>
      <c r="F141" s="45"/>
      <c r="H141" s="104" t="s">
        <v>614</v>
      </c>
      <c r="I141" s="98"/>
      <c r="K141" s="104" t="s">
        <v>614</v>
      </c>
      <c r="L141" s="98"/>
      <c r="N141" s="104" t="s">
        <v>614</v>
      </c>
      <c r="O141" s="98"/>
      <c r="Q141" s="104" t="s">
        <v>614</v>
      </c>
      <c r="R141" s="98"/>
      <c r="T141" s="104" t="s">
        <v>614</v>
      </c>
      <c r="U141" s="98"/>
      <c r="W141" s="104" t="s">
        <v>614</v>
      </c>
      <c r="X141" s="98"/>
      <c r="Z141" s="104" t="s">
        <v>614</v>
      </c>
      <c r="AA141" s="98"/>
      <c r="AC141" s="104" t="s">
        <v>614</v>
      </c>
      <c r="AD141" s="98"/>
    </row>
    <row r="142" spans="1:30" ht="15.75" thickBot="1" x14ac:dyDescent="0.3">
      <c r="B142" s="105" t="s">
        <v>31</v>
      </c>
      <c r="C142" s="117">
        <f>IF(UM_Asset1LTVType="NR","NR",IFERROR(SUM(C134:C141),""))</f>
        <v>15791572078</v>
      </c>
      <c r="E142" s="105" t="s">
        <v>31</v>
      </c>
      <c r="F142" s="117">
        <f>IF(UM_Asset2LTVType="NR","NR",IFERROR(SUM(F134:F141),""))</f>
        <v>0</v>
      </c>
      <c r="H142" s="105" t="s">
        <v>31</v>
      </c>
      <c r="I142" s="117">
        <f>IF(UM_Asset3LTVType="NR","NR",IFERROR(SUM(I134:I141),""))</f>
        <v>0</v>
      </c>
      <c r="K142" s="105" t="s">
        <v>31</v>
      </c>
      <c r="L142" s="117">
        <f>IF(UM_Asset4LTVType="NR","NR",IFERROR(SUM(L134:L141),""))</f>
        <v>0</v>
      </c>
      <c r="N142" s="105" t="s">
        <v>31</v>
      </c>
      <c r="O142" s="117">
        <f>IF(UM_Asset5LTVType="NR","NR",IFERROR(SUM(O134:O141),""))</f>
        <v>0</v>
      </c>
      <c r="Q142" s="105" t="s">
        <v>31</v>
      </c>
      <c r="R142" s="117">
        <f>IF(UM_Asset6LTVType="NR","NR",IFERROR(SUM(R134:R141),""))</f>
        <v>0</v>
      </c>
      <c r="T142" s="105" t="s">
        <v>31</v>
      </c>
      <c r="U142" s="117">
        <f>IF(UM_Asset7LTVType="NR","NR",IFERROR(SUM(U134:U141),""))</f>
        <v>0</v>
      </c>
      <c r="W142" s="105" t="s">
        <v>31</v>
      </c>
      <c r="X142" s="117">
        <f>IF(UM_Asset8LTVType="NR","NR",IFERROR(SUM(X134:X141),""))</f>
        <v>0</v>
      </c>
      <c r="Z142" s="105" t="s">
        <v>31</v>
      </c>
      <c r="AA142" s="117">
        <f>IF(UM_Asset9LTVType="NR","NR",IFERROR(SUM(AA134:AA141),""))</f>
        <v>0</v>
      </c>
      <c r="AC142" s="105" t="s">
        <v>31</v>
      </c>
      <c r="AD142" s="117">
        <f>IF(UM_Asset10LTVType="NR","NR",IFERROR(SUM(AD134:AD141),""))</f>
        <v>0</v>
      </c>
    </row>
    <row r="143" spans="1:30" x14ac:dyDescent="0.25">
      <c r="B143" s="102"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65" t="s">
        <v>878</v>
      </c>
      <c r="B144" s="40" t="s">
        <v>72</v>
      </c>
      <c r="C144" s="45">
        <v>15791572078</v>
      </c>
      <c r="E144" s="40"/>
      <c r="F144" s="45"/>
      <c r="H144" s="40"/>
      <c r="I144" s="98"/>
      <c r="K144" s="40"/>
      <c r="L144" s="98"/>
      <c r="N144" s="40"/>
      <c r="O144" s="98"/>
      <c r="Q144" s="40"/>
      <c r="R144" s="98"/>
      <c r="T144" s="40"/>
      <c r="U144" s="98"/>
      <c r="W144" s="40"/>
      <c r="X144" s="98"/>
      <c r="Z144" s="40"/>
      <c r="AA144" s="98"/>
      <c r="AC144" s="40"/>
      <c r="AD144" s="98"/>
    </row>
    <row r="145" spans="1:30" x14ac:dyDescent="0.25">
      <c r="A145" s="65" t="s">
        <v>879</v>
      </c>
      <c r="B145" s="40"/>
      <c r="C145" s="45"/>
      <c r="E145" s="40"/>
      <c r="F145" s="45"/>
      <c r="H145" s="40"/>
      <c r="I145" s="98"/>
      <c r="K145" s="40"/>
      <c r="L145" s="98"/>
      <c r="N145" s="40"/>
      <c r="O145" s="98"/>
      <c r="Q145" s="40"/>
      <c r="R145" s="98"/>
      <c r="T145" s="40"/>
      <c r="U145" s="98"/>
      <c r="W145" s="40"/>
      <c r="X145" s="98"/>
      <c r="Z145" s="40"/>
      <c r="AA145" s="98"/>
      <c r="AC145" s="40"/>
      <c r="AD145" s="98"/>
    </row>
    <row r="146" spans="1:30" x14ac:dyDescent="0.25">
      <c r="A146" s="65" t="s">
        <v>880</v>
      </c>
      <c r="B146" s="40"/>
      <c r="C146" s="45"/>
      <c r="E146" s="40"/>
      <c r="F146" s="45"/>
      <c r="H146" s="40"/>
      <c r="I146" s="98"/>
      <c r="K146" s="40"/>
      <c r="L146" s="98"/>
      <c r="N146" s="40"/>
      <c r="O146" s="98"/>
      <c r="Q146" s="40"/>
      <c r="R146" s="98"/>
      <c r="T146" s="40"/>
      <c r="U146" s="98"/>
      <c r="W146" s="40"/>
      <c r="X146" s="98"/>
      <c r="Z146" s="40"/>
      <c r="AA146" s="98"/>
      <c r="AC146" s="40"/>
      <c r="AD146" s="98"/>
    </row>
    <row r="147" spans="1:30" x14ac:dyDescent="0.25">
      <c r="A147" s="65" t="s">
        <v>881</v>
      </c>
      <c r="B147" s="40"/>
      <c r="C147" s="45"/>
      <c r="D147" s="69"/>
      <c r="E147" s="40"/>
      <c r="F147" s="45"/>
      <c r="G147" s="69"/>
      <c r="H147" s="40"/>
      <c r="I147" s="98"/>
      <c r="J147" s="69"/>
      <c r="K147" s="40"/>
      <c r="L147" s="98"/>
      <c r="M147" s="69"/>
      <c r="N147" s="40"/>
      <c r="O147" s="98"/>
      <c r="P147" s="69"/>
      <c r="Q147" s="40"/>
      <c r="R147" s="98"/>
      <c r="S147" s="69"/>
      <c r="T147" s="40"/>
      <c r="U147" s="98"/>
      <c r="V147" s="69"/>
      <c r="W147" s="40"/>
      <c r="X147" s="98"/>
      <c r="Y147" s="69"/>
      <c r="Z147" s="40"/>
      <c r="AA147" s="98"/>
      <c r="AB147" s="69"/>
      <c r="AC147" s="40"/>
      <c r="AD147" s="98"/>
    </row>
    <row r="148" spans="1:30" x14ac:dyDescent="0.25">
      <c r="A148" s="65" t="s">
        <v>882</v>
      </c>
      <c r="B148" s="40"/>
      <c r="C148" s="45"/>
      <c r="D148" s="88"/>
      <c r="E148" s="40"/>
      <c r="F148" s="45"/>
      <c r="G148" s="88"/>
      <c r="H148" s="40"/>
      <c r="I148" s="98"/>
      <c r="J148" s="88"/>
      <c r="K148" s="40"/>
      <c r="L148" s="98"/>
      <c r="M148" s="88"/>
      <c r="N148" s="40"/>
      <c r="O148" s="98"/>
      <c r="P148" s="88"/>
      <c r="Q148" s="40"/>
      <c r="R148" s="98"/>
      <c r="S148" s="88"/>
      <c r="T148" s="40"/>
      <c r="U148" s="98"/>
      <c r="V148" s="88"/>
      <c r="W148" s="40"/>
      <c r="X148" s="98"/>
      <c r="Y148" s="88"/>
      <c r="Z148" s="40"/>
      <c r="AA148" s="98"/>
      <c r="AB148" s="88"/>
      <c r="AC148" s="40"/>
      <c r="AD148" s="98"/>
    </row>
    <row r="149" spans="1:30" x14ac:dyDescent="0.25">
      <c r="A149" s="65" t="s">
        <v>883</v>
      </c>
      <c r="B149" s="40"/>
      <c r="C149" s="45"/>
      <c r="D149" s="88"/>
      <c r="E149" s="40"/>
      <c r="F149" s="45"/>
      <c r="G149" s="88"/>
      <c r="H149" s="40"/>
      <c r="I149" s="98"/>
      <c r="J149" s="88"/>
      <c r="K149" s="40"/>
      <c r="L149" s="98"/>
      <c r="M149" s="88"/>
      <c r="N149" s="40"/>
      <c r="O149" s="98"/>
      <c r="P149" s="88"/>
      <c r="Q149" s="40"/>
      <c r="R149" s="98"/>
      <c r="S149" s="88"/>
      <c r="T149" s="40"/>
      <c r="U149" s="98"/>
      <c r="V149" s="88"/>
      <c r="W149" s="40"/>
      <c r="X149" s="98"/>
      <c r="Y149" s="88"/>
      <c r="Z149" s="40"/>
      <c r="AA149" s="98"/>
      <c r="AB149" s="88"/>
      <c r="AC149" s="40"/>
      <c r="AD149" s="98"/>
    </row>
    <row r="150" spans="1:30" x14ac:dyDescent="0.25">
      <c r="A150" s="65" t="s">
        <v>884</v>
      </c>
      <c r="B150" s="40"/>
      <c r="C150" s="45"/>
      <c r="D150" s="88"/>
      <c r="E150" s="40"/>
      <c r="F150" s="45"/>
      <c r="G150" s="88"/>
      <c r="H150" s="40"/>
      <c r="I150" s="98"/>
      <c r="J150" s="88"/>
      <c r="K150" s="40"/>
      <c r="L150" s="98"/>
      <c r="M150" s="88"/>
      <c r="N150" s="40"/>
      <c r="O150" s="98"/>
      <c r="P150" s="88"/>
      <c r="Q150" s="40"/>
      <c r="R150" s="98"/>
      <c r="S150" s="88"/>
      <c r="T150" s="40"/>
      <c r="U150" s="98"/>
      <c r="V150" s="88"/>
      <c r="W150" s="40"/>
      <c r="X150" s="98"/>
      <c r="Y150" s="88"/>
      <c r="Z150" s="40"/>
      <c r="AA150" s="98"/>
      <c r="AB150" s="88"/>
      <c r="AC150" s="40"/>
      <c r="AD150" s="98"/>
    </row>
    <row r="151" spans="1:30" x14ac:dyDescent="0.25">
      <c r="A151" s="65" t="s">
        <v>885</v>
      </c>
      <c r="B151" s="40"/>
      <c r="C151" s="45"/>
      <c r="D151" s="69"/>
      <c r="E151" s="40"/>
      <c r="F151" s="45"/>
      <c r="G151" s="69"/>
      <c r="H151" s="40"/>
      <c r="I151" s="98"/>
      <c r="J151" s="69"/>
      <c r="K151" s="40"/>
      <c r="L151" s="98"/>
      <c r="M151" s="69"/>
      <c r="N151" s="40"/>
      <c r="O151" s="98"/>
      <c r="P151" s="69"/>
      <c r="Q151" s="40"/>
      <c r="R151" s="98"/>
      <c r="S151" s="69"/>
      <c r="T151" s="40"/>
      <c r="U151" s="98"/>
      <c r="V151" s="69"/>
      <c r="W151" s="40"/>
      <c r="X151" s="98"/>
      <c r="Y151" s="69"/>
      <c r="Z151" s="40"/>
      <c r="AA151" s="98"/>
      <c r="AB151" s="69"/>
      <c r="AC151" s="40"/>
      <c r="AD151" s="98"/>
    </row>
    <row r="152" spans="1:30" x14ac:dyDescent="0.25">
      <c r="A152" s="65" t="s">
        <v>886</v>
      </c>
      <c r="B152" s="40"/>
      <c r="C152" s="45"/>
      <c r="E152" s="40"/>
      <c r="F152" s="45"/>
      <c r="H152" s="40"/>
      <c r="I152" s="98"/>
      <c r="K152" s="40"/>
      <c r="L152" s="98"/>
      <c r="N152" s="40"/>
      <c r="O152" s="98"/>
      <c r="Q152" s="40"/>
      <c r="R152" s="98"/>
      <c r="T152" s="40"/>
      <c r="U152" s="98"/>
      <c r="W152" s="40"/>
      <c r="X152" s="98"/>
      <c r="Z152" s="40"/>
      <c r="AA152" s="98"/>
      <c r="AC152" s="40"/>
      <c r="AD152" s="98"/>
    </row>
    <row r="153" spans="1:30" x14ac:dyDescent="0.25">
      <c r="A153" s="65" t="s">
        <v>887</v>
      </c>
      <c r="B153" s="40"/>
      <c r="C153" s="45"/>
      <c r="E153" s="40"/>
      <c r="F153" s="45"/>
      <c r="H153" s="40"/>
      <c r="I153" s="98"/>
      <c r="K153" s="40"/>
      <c r="L153" s="98"/>
      <c r="N153" s="40"/>
      <c r="O153" s="98"/>
      <c r="Q153" s="40"/>
      <c r="R153" s="98"/>
      <c r="T153" s="40"/>
      <c r="U153" s="98"/>
      <c r="W153" s="40"/>
      <c r="X153" s="98"/>
      <c r="Z153" s="40"/>
      <c r="AA153" s="98"/>
      <c r="AC153" s="40"/>
      <c r="AD153" s="98"/>
    </row>
    <row r="154" spans="1:30" x14ac:dyDescent="0.25">
      <c r="A154" s="65" t="s">
        <v>888</v>
      </c>
      <c r="B154" s="17" t="s">
        <v>20</v>
      </c>
      <c r="C154" s="45">
        <v>0</v>
      </c>
      <c r="E154" s="17" t="s">
        <v>20</v>
      </c>
      <c r="F154" s="45"/>
      <c r="H154" s="17" t="s">
        <v>20</v>
      </c>
      <c r="I154" s="98"/>
      <c r="K154" s="17" t="s">
        <v>20</v>
      </c>
      <c r="L154" s="98"/>
      <c r="N154" s="17" t="s">
        <v>20</v>
      </c>
      <c r="O154" s="98"/>
      <c r="Q154" s="17" t="s">
        <v>20</v>
      </c>
      <c r="R154" s="98"/>
      <c r="T154" s="17" t="s">
        <v>20</v>
      </c>
      <c r="U154" s="98"/>
      <c r="W154" s="17" t="s">
        <v>20</v>
      </c>
      <c r="X154" s="98"/>
      <c r="Z154" s="17" t="s">
        <v>20</v>
      </c>
      <c r="AA154" s="98"/>
      <c r="AC154" s="17" t="s">
        <v>20</v>
      </c>
      <c r="AD154" s="98"/>
    </row>
    <row r="155" spans="1:30" ht="15.75" thickBot="1" x14ac:dyDescent="0.3">
      <c r="B155" s="19" t="s">
        <v>31</v>
      </c>
      <c r="C155" s="57">
        <f>IFERROR(SUM(C144:C154),"")</f>
        <v>15791572078</v>
      </c>
      <c r="E155" s="19" t="s">
        <v>31</v>
      </c>
      <c r="F155" s="58">
        <f>IFERROR(SUM(F144:F154),"")</f>
        <v>0</v>
      </c>
      <c r="H155" s="19" t="s">
        <v>31</v>
      </c>
      <c r="I155" s="58">
        <f>IFERROR(SUM(I144:I154),"")</f>
        <v>0</v>
      </c>
      <c r="K155" s="19" t="s">
        <v>31</v>
      </c>
      <c r="L155" s="58">
        <f>IFERROR(SUM(L144:L154),"")</f>
        <v>0</v>
      </c>
      <c r="N155" s="19" t="s">
        <v>31</v>
      </c>
      <c r="O155" s="58">
        <f>IFERROR(SUM(O144:O154),"")</f>
        <v>0</v>
      </c>
      <c r="Q155" s="19" t="s">
        <v>31</v>
      </c>
      <c r="R155" s="58">
        <f>IFERROR(SUM(R144:R154),"")</f>
        <v>0</v>
      </c>
      <c r="T155" s="19" t="s">
        <v>31</v>
      </c>
      <c r="U155" s="58">
        <f>IFERROR(SUM(U144:U154),"")</f>
        <v>0</v>
      </c>
      <c r="W155" s="19" t="s">
        <v>31</v>
      </c>
      <c r="X155" s="58">
        <f>IFERROR(SUM(X144:X154),"")</f>
        <v>0</v>
      </c>
      <c r="Z155" s="19" t="s">
        <v>31</v>
      </c>
      <c r="AA155" s="58">
        <f>IFERROR(SUM(AA144:AA154),"")</f>
        <v>0</v>
      </c>
      <c r="AC155" s="19" t="s">
        <v>31</v>
      </c>
      <c r="AD155" s="58">
        <f>IFERROR(SUM(AD144:AD154),"")</f>
        <v>0</v>
      </c>
    </row>
    <row r="156" spans="1:30" x14ac:dyDescent="0.25">
      <c r="B156" s="115" t="s">
        <v>950</v>
      </c>
      <c r="C156" s="30" t="s">
        <v>772</v>
      </c>
      <c r="E156" s="115" t="s">
        <v>950</v>
      </c>
      <c r="F156" s="30" t="s">
        <v>772</v>
      </c>
      <c r="H156" s="115" t="s">
        <v>950</v>
      </c>
      <c r="I156" s="30" t="s">
        <v>772</v>
      </c>
      <c r="K156" s="115" t="s">
        <v>950</v>
      </c>
      <c r="L156" s="30" t="s">
        <v>772</v>
      </c>
      <c r="N156" s="115" t="s">
        <v>950</v>
      </c>
      <c r="O156" s="30" t="s">
        <v>772</v>
      </c>
      <c r="Q156" s="115" t="s">
        <v>950</v>
      </c>
      <c r="R156" s="30" t="s">
        <v>772</v>
      </c>
      <c r="T156" s="115" t="s">
        <v>950</v>
      </c>
      <c r="U156" s="30" t="s">
        <v>772</v>
      </c>
      <c r="W156" s="115" t="s">
        <v>950</v>
      </c>
      <c r="X156" s="30" t="s">
        <v>772</v>
      </c>
      <c r="Z156" s="115" t="s">
        <v>950</v>
      </c>
      <c r="AA156" s="30" t="s">
        <v>772</v>
      </c>
      <c r="AC156" s="115" t="s">
        <v>950</v>
      </c>
      <c r="AD156" s="30" t="s">
        <v>772</v>
      </c>
    </row>
    <row r="157" spans="1:30" x14ac:dyDescent="0.25">
      <c r="A157" s="65" t="s">
        <v>925</v>
      </c>
      <c r="B157" s="116" t="s">
        <v>955</v>
      </c>
      <c r="C157" s="45">
        <v>234805529</v>
      </c>
      <c r="E157" s="116" t="s">
        <v>955</v>
      </c>
      <c r="F157" s="45"/>
      <c r="H157" s="116" t="s">
        <v>955</v>
      </c>
      <c r="I157" s="98"/>
      <c r="K157" s="116" t="s">
        <v>955</v>
      </c>
      <c r="L157" s="98"/>
      <c r="N157" s="116" t="s">
        <v>955</v>
      </c>
      <c r="O157" s="98"/>
      <c r="Q157" s="116" t="s">
        <v>955</v>
      </c>
      <c r="R157" s="98"/>
      <c r="T157" s="116" t="s">
        <v>955</v>
      </c>
      <c r="U157" s="98"/>
      <c r="W157" s="116" t="s">
        <v>955</v>
      </c>
      <c r="X157" s="98"/>
      <c r="Z157" s="116" t="s">
        <v>955</v>
      </c>
      <c r="AA157" s="98"/>
      <c r="AC157" s="116" t="s">
        <v>955</v>
      </c>
      <c r="AD157" s="98"/>
    </row>
    <row r="158" spans="1:30" x14ac:dyDescent="0.25">
      <c r="A158" s="65" t="s">
        <v>927</v>
      </c>
      <c r="B158" s="116" t="s">
        <v>951</v>
      </c>
      <c r="C158" s="45">
        <v>14963986</v>
      </c>
      <c r="E158" s="116" t="s">
        <v>951</v>
      </c>
      <c r="F158" s="45"/>
      <c r="H158" s="116" t="s">
        <v>951</v>
      </c>
      <c r="I158" s="98"/>
      <c r="K158" s="116" t="s">
        <v>951</v>
      </c>
      <c r="L158" s="98"/>
      <c r="N158" s="116" t="s">
        <v>951</v>
      </c>
      <c r="O158" s="98"/>
      <c r="Q158" s="116" t="s">
        <v>951</v>
      </c>
      <c r="R158" s="98"/>
      <c r="T158" s="116" t="s">
        <v>951</v>
      </c>
      <c r="U158" s="98"/>
      <c r="W158" s="116" t="s">
        <v>951</v>
      </c>
      <c r="X158" s="98"/>
      <c r="Z158" s="116" t="s">
        <v>951</v>
      </c>
      <c r="AA158" s="98"/>
      <c r="AC158" s="116" t="s">
        <v>951</v>
      </c>
      <c r="AD158" s="98"/>
    </row>
    <row r="159" spans="1:30" x14ac:dyDescent="0.25">
      <c r="A159" s="65" t="s">
        <v>928</v>
      </c>
      <c r="B159" s="116" t="s">
        <v>952</v>
      </c>
      <c r="C159" s="45">
        <v>0</v>
      </c>
      <c r="E159" s="116" t="s">
        <v>952</v>
      </c>
      <c r="F159" s="45"/>
      <c r="H159" s="116" t="s">
        <v>952</v>
      </c>
      <c r="I159" s="98"/>
      <c r="K159" s="116" t="s">
        <v>952</v>
      </c>
      <c r="L159" s="98"/>
      <c r="N159" s="116" t="s">
        <v>952</v>
      </c>
      <c r="O159" s="98"/>
      <c r="Q159" s="116" t="s">
        <v>952</v>
      </c>
      <c r="R159" s="98"/>
      <c r="T159" s="116" t="s">
        <v>952</v>
      </c>
      <c r="U159" s="98"/>
      <c r="W159" s="116" t="s">
        <v>952</v>
      </c>
      <c r="X159" s="98"/>
      <c r="Z159" s="116" t="s">
        <v>952</v>
      </c>
      <c r="AA159" s="98"/>
      <c r="AC159" s="116" t="s">
        <v>952</v>
      </c>
      <c r="AD159" s="98"/>
    </row>
    <row r="160" spans="1:30" ht="15.75" thickBot="1" x14ac:dyDescent="0.3">
      <c r="B160" s="19" t="s">
        <v>31</v>
      </c>
      <c r="C160" s="57">
        <f>IF(UM_Asset1_Arrears_Option1_2OrLess="NR","NR",IFERROR(SUM(C157:C159),""))</f>
        <v>249769515</v>
      </c>
      <c r="E160" s="19" t="s">
        <v>31</v>
      </c>
      <c r="F160" s="57">
        <f>IF(UM_Asset2_Arrears_Option1_2OrLess="NR","NR",IFERROR(SUM(F157:F159),""))</f>
        <v>0</v>
      </c>
      <c r="H160" s="19" t="s">
        <v>31</v>
      </c>
      <c r="I160" s="57">
        <f>IF(UM_Asset3_Arrears_Option1_2OrLess="NR","NR",IFERROR(SUM(I157:I159),""))</f>
        <v>0</v>
      </c>
      <c r="K160" s="19" t="s">
        <v>31</v>
      </c>
      <c r="L160" s="57">
        <f>IF(UM_Asset4_Arrears_Option1_2OrLess="NR","NR",IFERROR(SUM(L157:L159),""))</f>
        <v>0</v>
      </c>
      <c r="N160" s="19" t="s">
        <v>31</v>
      </c>
      <c r="O160" s="57">
        <f>IF(UM_Asset5_Arrears_Option1_2OrLess="NR","NR",IFERROR(SUM(O157:O159),""))</f>
        <v>0</v>
      </c>
      <c r="Q160" s="19" t="s">
        <v>31</v>
      </c>
      <c r="R160" s="57">
        <f>IF(UM_Asset6_Arrears_Option1_2OrLess="NR","NR",IFERROR(SUM(R157:R159),""))</f>
        <v>0</v>
      </c>
      <c r="T160" s="19" t="s">
        <v>31</v>
      </c>
      <c r="U160" s="57">
        <f>IF(UM_Asset7_Arrears_Option1_2OrLess="NR","NR",IFERROR(SUM(U157:U159),""))</f>
        <v>0</v>
      </c>
      <c r="W160" s="19" t="s">
        <v>31</v>
      </c>
      <c r="X160" s="57">
        <f>IF(UM_Asset8_Arrears_Option1_2OrLess="NR","NR",IFERROR(SUM(X157:X159),""))</f>
        <v>0</v>
      </c>
      <c r="Z160" s="19" t="s">
        <v>31</v>
      </c>
      <c r="AA160" s="57">
        <f>IF(UM_Asset9_Arrears_Option1_2OrLess="NR","NR",IFERROR(SUM(AA157:AA159),""))</f>
        <v>0</v>
      </c>
      <c r="AC160" s="19" t="s">
        <v>31</v>
      </c>
      <c r="AD160" s="57">
        <f>IF(UM_Asset10_Arrears_Option1_2OrLess="NR","NR",IFERROR(SUM(AD157:AD159),""))</f>
        <v>0</v>
      </c>
    </row>
    <row r="161" spans="1:30" x14ac:dyDescent="0.25">
      <c r="B161" s="116" t="s">
        <v>950</v>
      </c>
      <c r="C161" s="30" t="s">
        <v>773</v>
      </c>
      <c r="E161" s="116" t="s">
        <v>950</v>
      </c>
      <c r="F161" s="30" t="s">
        <v>773</v>
      </c>
      <c r="H161" s="116" t="s">
        <v>950</v>
      </c>
      <c r="I161" s="30" t="s">
        <v>773</v>
      </c>
      <c r="K161" s="116" t="s">
        <v>950</v>
      </c>
      <c r="L161" s="30" t="s">
        <v>773</v>
      </c>
      <c r="N161" s="116" t="s">
        <v>950</v>
      </c>
      <c r="O161" s="30" t="s">
        <v>773</v>
      </c>
      <c r="Q161" s="116" t="s">
        <v>950</v>
      </c>
      <c r="R161" s="30" t="s">
        <v>773</v>
      </c>
      <c r="T161" s="116" t="s">
        <v>950</v>
      </c>
      <c r="U161" s="30" t="s">
        <v>773</v>
      </c>
      <c r="W161" s="116" t="s">
        <v>950</v>
      </c>
      <c r="X161" s="30" t="s">
        <v>773</v>
      </c>
      <c r="Z161" s="116" t="s">
        <v>950</v>
      </c>
      <c r="AA161" s="30" t="s">
        <v>773</v>
      </c>
      <c r="AC161" s="116" t="s">
        <v>950</v>
      </c>
      <c r="AD161" s="30" t="s">
        <v>773</v>
      </c>
    </row>
    <row r="162" spans="1:30" x14ac:dyDescent="0.25">
      <c r="A162" s="65" t="s">
        <v>929</v>
      </c>
      <c r="B162" s="116" t="s">
        <v>956</v>
      </c>
      <c r="C162" s="45" t="s">
        <v>1015</v>
      </c>
      <c r="E162" s="116" t="s">
        <v>956</v>
      </c>
      <c r="F162" s="45"/>
      <c r="H162" s="116" t="s">
        <v>956</v>
      </c>
      <c r="I162" s="98"/>
      <c r="K162" s="116" t="s">
        <v>956</v>
      </c>
      <c r="L162" s="98"/>
      <c r="N162" s="116" t="s">
        <v>956</v>
      </c>
      <c r="O162" s="98"/>
      <c r="Q162" s="116" t="s">
        <v>956</v>
      </c>
      <c r="R162" s="98"/>
      <c r="T162" s="116" t="s">
        <v>956</v>
      </c>
      <c r="U162" s="98"/>
      <c r="W162" s="116" t="s">
        <v>956</v>
      </c>
      <c r="X162" s="98"/>
      <c r="Z162" s="116" t="s">
        <v>956</v>
      </c>
      <c r="AA162" s="98"/>
      <c r="AC162" s="116" t="s">
        <v>956</v>
      </c>
      <c r="AD162" s="98"/>
    </row>
    <row r="163" spans="1:30" x14ac:dyDescent="0.25">
      <c r="A163" s="65" t="s">
        <v>930</v>
      </c>
      <c r="B163" s="116" t="s">
        <v>953</v>
      </c>
      <c r="C163" s="45" t="s">
        <v>1015</v>
      </c>
      <c r="E163" s="116" t="s">
        <v>953</v>
      </c>
      <c r="F163" s="45"/>
      <c r="H163" s="116" t="s">
        <v>953</v>
      </c>
      <c r="I163" s="98"/>
      <c r="K163" s="116" t="s">
        <v>953</v>
      </c>
      <c r="L163" s="98"/>
      <c r="N163" s="116" t="s">
        <v>953</v>
      </c>
      <c r="O163" s="98"/>
      <c r="Q163" s="116" t="s">
        <v>953</v>
      </c>
      <c r="R163" s="98"/>
      <c r="T163" s="116" t="s">
        <v>953</v>
      </c>
      <c r="U163" s="98"/>
      <c r="W163" s="116" t="s">
        <v>953</v>
      </c>
      <c r="X163" s="98"/>
      <c r="Z163" s="116" t="s">
        <v>953</v>
      </c>
      <c r="AA163" s="98"/>
      <c r="AC163" s="116" t="s">
        <v>953</v>
      </c>
      <c r="AD163" s="98"/>
    </row>
    <row r="164" spans="1:30" x14ac:dyDescent="0.25">
      <c r="A164" s="65" t="s">
        <v>926</v>
      </c>
      <c r="B164" s="116" t="s">
        <v>952</v>
      </c>
      <c r="C164" s="45" t="s">
        <v>1015</v>
      </c>
      <c r="E164" s="116" t="s">
        <v>952</v>
      </c>
      <c r="F164" s="45"/>
      <c r="H164" s="116" t="s">
        <v>952</v>
      </c>
      <c r="I164" s="98"/>
      <c r="K164" s="116" t="s">
        <v>952</v>
      </c>
      <c r="L164" s="98"/>
      <c r="N164" s="116" t="s">
        <v>952</v>
      </c>
      <c r="O164" s="98"/>
      <c r="Q164" s="116" t="s">
        <v>952</v>
      </c>
      <c r="R164" s="98"/>
      <c r="T164" s="116" t="s">
        <v>952</v>
      </c>
      <c r="U164" s="98"/>
      <c r="W164" s="116" t="s">
        <v>952</v>
      </c>
      <c r="X164" s="98"/>
      <c r="Z164" s="116" t="s">
        <v>952</v>
      </c>
      <c r="AA164" s="98"/>
      <c r="AC164" s="116" t="s">
        <v>952</v>
      </c>
      <c r="AD164" s="98"/>
    </row>
    <row r="165" spans="1:30" ht="15.75" thickBot="1" x14ac:dyDescent="0.3">
      <c r="B165" s="19" t="s">
        <v>31</v>
      </c>
      <c r="C165" s="57" t="str">
        <f>IF(UM_Asset1_Arrears_Option2_3OrLess="NR","NR",IFERROR(SUM(C162:C164),""))</f>
        <v>NR</v>
      </c>
      <c r="E165" s="19" t="s">
        <v>31</v>
      </c>
      <c r="F165" s="57">
        <f>IF(UM_Asset2_Arrears_Option2_3OrLess="NR","NR",IFERROR(SUM(F162:F164),""))</f>
        <v>0</v>
      </c>
      <c r="H165" s="19" t="s">
        <v>31</v>
      </c>
      <c r="I165" s="57">
        <f>IF(UM_Asset3_Arrears_Option2_3OrLess="NR","NR",IFERROR(SUM(I162:I164),""))</f>
        <v>0</v>
      </c>
      <c r="K165" s="19" t="s">
        <v>31</v>
      </c>
      <c r="L165" s="57">
        <f>IF(UM_Asset4_Arrears_Option2_3OrLess="NR","NR",IFERROR(SUM(L162:L164),""))</f>
        <v>0</v>
      </c>
      <c r="N165" s="19" t="s">
        <v>31</v>
      </c>
      <c r="O165" s="57">
        <f>IF(UM_Asset5_Arrears_Option2_3OrLess="NR","NR",IFERROR(SUM(O162:O164),""))</f>
        <v>0</v>
      </c>
      <c r="Q165" s="19" t="s">
        <v>31</v>
      </c>
      <c r="R165" s="57">
        <f>IF(UM_Asset6_Arrears_Option2_3OrLess="NR","NR",IFERROR(SUM(R162:R164),""))</f>
        <v>0</v>
      </c>
      <c r="T165" s="19" t="s">
        <v>31</v>
      </c>
      <c r="U165" s="57">
        <f>IF(UM_Asset7_Arrears_Option2_3OrLess="NR","NR",IFERROR(SUM(U162:U164),""))</f>
        <v>0</v>
      </c>
      <c r="W165" s="19" t="s">
        <v>31</v>
      </c>
      <c r="X165" s="57">
        <f>IF(UM_Asset8_Arrears_Option2_3OrLess="NR","NR",IFERROR(SUM(X162:X164),""))</f>
        <v>0</v>
      </c>
      <c r="Z165" s="19" t="s">
        <v>31</v>
      </c>
      <c r="AA165" s="57">
        <f>IF(UM_Asset9_Arrears_Option2_3OrLess="NR","NR",IFERROR(SUM(AA162:AA164),""))</f>
        <v>0</v>
      </c>
      <c r="AC165" s="19" t="s">
        <v>31</v>
      </c>
      <c r="AD165" s="57">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93" t="s">
        <v>919</v>
      </c>
      <c r="B167" s="40" t="s">
        <v>135</v>
      </c>
      <c r="C167" s="45">
        <v>5185127784</v>
      </c>
      <c r="E167" s="40"/>
      <c r="F167" s="45"/>
      <c r="G167" s="91"/>
      <c r="H167" s="40"/>
      <c r="I167" s="98"/>
      <c r="J167" s="69"/>
      <c r="K167" s="40"/>
      <c r="L167" s="98"/>
      <c r="N167" s="40"/>
      <c r="O167" s="98"/>
      <c r="Q167" s="40"/>
      <c r="R167" s="98"/>
      <c r="T167" s="40"/>
      <c r="U167" s="98"/>
      <c r="W167" s="40"/>
      <c r="X167" s="98"/>
      <c r="Z167" s="40"/>
      <c r="AA167" s="98"/>
      <c r="AC167" s="40"/>
      <c r="AD167" s="98"/>
    </row>
    <row r="168" spans="1:30" x14ac:dyDescent="0.25">
      <c r="A168" s="93" t="s">
        <v>918</v>
      </c>
      <c r="B168" s="40" t="s">
        <v>286</v>
      </c>
      <c r="C168" s="45">
        <v>3527843226</v>
      </c>
      <c r="E168" s="40"/>
      <c r="F168" s="45"/>
      <c r="G168" s="69"/>
      <c r="H168" s="40"/>
      <c r="I168" s="98"/>
      <c r="J168" s="69"/>
      <c r="K168" s="40"/>
      <c r="L168" s="98"/>
      <c r="N168" s="40"/>
      <c r="O168" s="98"/>
      <c r="Q168" s="40"/>
      <c r="R168" s="98"/>
      <c r="T168" s="40"/>
      <c r="U168" s="98"/>
      <c r="W168" s="40"/>
      <c r="X168" s="98"/>
      <c r="Z168" s="40"/>
      <c r="AA168" s="98"/>
      <c r="AC168" s="40"/>
      <c r="AD168" s="98"/>
    </row>
    <row r="169" spans="1:30" x14ac:dyDescent="0.25">
      <c r="A169" s="93" t="s">
        <v>917</v>
      </c>
      <c r="B169" s="40" t="s">
        <v>92</v>
      </c>
      <c r="C169" s="45">
        <v>3332780407</v>
      </c>
      <c r="E169" s="40"/>
      <c r="F169" s="45"/>
      <c r="G169" s="69"/>
      <c r="H169" s="40"/>
      <c r="I169" s="98"/>
      <c r="J169" s="69"/>
      <c r="K169" s="40"/>
      <c r="L169" s="98"/>
      <c r="N169" s="40"/>
      <c r="O169" s="98"/>
      <c r="Q169" s="40"/>
      <c r="R169" s="98"/>
      <c r="T169" s="40"/>
      <c r="U169" s="98"/>
      <c r="W169" s="40"/>
      <c r="X169" s="98"/>
      <c r="Z169" s="40"/>
      <c r="AA169" s="98"/>
      <c r="AC169" s="40"/>
      <c r="AD169" s="98"/>
    </row>
    <row r="170" spans="1:30" x14ac:dyDescent="0.25">
      <c r="A170" s="93" t="s">
        <v>916</v>
      </c>
      <c r="B170" s="40" t="s">
        <v>369</v>
      </c>
      <c r="C170" s="45">
        <v>1369237884</v>
      </c>
      <c r="E170" s="40"/>
      <c r="F170" s="45"/>
      <c r="G170" s="69"/>
      <c r="H170" s="40"/>
      <c r="I170" s="98"/>
      <c r="J170" s="69"/>
      <c r="K170" s="40"/>
      <c r="L170" s="98"/>
      <c r="N170" s="40"/>
      <c r="O170" s="98"/>
      <c r="Q170" s="40"/>
      <c r="R170" s="98"/>
      <c r="T170" s="40"/>
      <c r="U170" s="98"/>
      <c r="W170" s="40"/>
      <c r="X170" s="98"/>
      <c r="Z170" s="40"/>
      <c r="AA170" s="98"/>
      <c r="AC170" s="40"/>
      <c r="AD170" s="98"/>
    </row>
    <row r="171" spans="1:30" x14ac:dyDescent="0.25">
      <c r="A171" s="93" t="s">
        <v>915</v>
      </c>
      <c r="B171" s="40" t="s">
        <v>300</v>
      </c>
      <c r="C171" s="45">
        <v>666962314</v>
      </c>
      <c r="E171" s="40"/>
      <c r="F171" s="45"/>
      <c r="G171" s="69"/>
      <c r="H171" s="40"/>
      <c r="I171" s="98"/>
      <c r="J171" s="69"/>
      <c r="K171" s="40"/>
      <c r="L171" s="98"/>
      <c r="N171" s="40"/>
      <c r="O171" s="98"/>
      <c r="Q171" s="40"/>
      <c r="R171" s="98"/>
      <c r="T171" s="40"/>
      <c r="U171" s="98"/>
      <c r="W171" s="40"/>
      <c r="X171" s="98"/>
      <c r="Z171" s="40"/>
      <c r="AA171" s="98"/>
      <c r="AC171" s="40"/>
      <c r="AD171" s="98"/>
    </row>
    <row r="172" spans="1:30" x14ac:dyDescent="0.25">
      <c r="A172" s="93" t="s">
        <v>914</v>
      </c>
      <c r="B172" s="40" t="s">
        <v>313</v>
      </c>
      <c r="C172" s="45">
        <v>497368270</v>
      </c>
      <c r="E172" s="40"/>
      <c r="F172" s="45"/>
      <c r="G172" s="69"/>
      <c r="H172" s="40"/>
      <c r="I172" s="98"/>
      <c r="J172" s="69"/>
      <c r="K172" s="40"/>
      <c r="L172" s="98"/>
      <c r="N172" s="40"/>
      <c r="O172" s="98"/>
      <c r="Q172" s="40"/>
      <c r="R172" s="98"/>
      <c r="T172" s="40"/>
      <c r="U172" s="98"/>
      <c r="W172" s="40"/>
      <c r="X172" s="98"/>
      <c r="Z172" s="40"/>
      <c r="AA172" s="98"/>
      <c r="AC172" s="40"/>
      <c r="AD172" s="98"/>
    </row>
    <row r="173" spans="1:30" x14ac:dyDescent="0.25">
      <c r="A173" s="93" t="s">
        <v>913</v>
      </c>
      <c r="B173" s="40" t="s">
        <v>195</v>
      </c>
      <c r="C173" s="45">
        <v>435214345</v>
      </c>
      <c r="E173" s="40"/>
      <c r="F173" s="45"/>
      <c r="G173" s="69"/>
      <c r="H173" s="40"/>
      <c r="I173" s="98"/>
      <c r="J173" s="69"/>
      <c r="K173" s="40"/>
      <c r="L173" s="98"/>
      <c r="N173" s="40"/>
      <c r="O173" s="98"/>
      <c r="Q173" s="40"/>
      <c r="R173" s="98"/>
      <c r="T173" s="40"/>
      <c r="U173" s="98"/>
      <c r="W173" s="40"/>
      <c r="X173" s="98"/>
      <c r="Z173" s="40"/>
      <c r="AA173" s="98"/>
      <c r="AC173" s="40"/>
      <c r="AD173" s="98"/>
    </row>
    <row r="174" spans="1:30" x14ac:dyDescent="0.25">
      <c r="A174" s="93" t="s">
        <v>912</v>
      </c>
      <c r="B174" s="40" t="s">
        <v>337</v>
      </c>
      <c r="C174" s="45">
        <v>257790902</v>
      </c>
      <c r="E174" s="40"/>
      <c r="F174" s="45"/>
      <c r="G174" s="69"/>
      <c r="H174" s="40"/>
      <c r="I174" s="98"/>
      <c r="J174" s="69"/>
      <c r="K174" s="40"/>
      <c r="L174" s="98"/>
      <c r="N174" s="40"/>
      <c r="O174" s="98"/>
      <c r="Q174" s="40"/>
      <c r="R174" s="98"/>
      <c r="T174" s="40"/>
      <c r="U174" s="98"/>
      <c r="W174" s="40"/>
      <c r="X174" s="98"/>
      <c r="Z174" s="40"/>
      <c r="AA174" s="98"/>
      <c r="AC174" s="40"/>
      <c r="AD174" s="98"/>
    </row>
    <row r="175" spans="1:30" x14ac:dyDescent="0.25">
      <c r="A175" s="93" t="s">
        <v>911</v>
      </c>
      <c r="B175" s="40" t="s">
        <v>214</v>
      </c>
      <c r="C175" s="45">
        <v>88235852</v>
      </c>
      <c r="E175" s="40"/>
      <c r="F175" s="45"/>
      <c r="G175" s="69"/>
      <c r="H175" s="40"/>
      <c r="I175" s="98"/>
      <c r="J175" s="69"/>
      <c r="K175" s="40"/>
      <c r="L175" s="98"/>
      <c r="N175" s="40"/>
      <c r="O175" s="98"/>
      <c r="Q175" s="40"/>
      <c r="R175" s="98"/>
      <c r="T175" s="40"/>
      <c r="U175" s="98"/>
      <c r="W175" s="40"/>
      <c r="X175" s="98"/>
      <c r="Z175" s="40"/>
      <c r="AA175" s="98"/>
      <c r="AC175" s="40"/>
      <c r="AD175" s="98"/>
    </row>
    <row r="176" spans="1:30" x14ac:dyDescent="0.25">
      <c r="A176" s="93" t="s">
        <v>910</v>
      </c>
      <c r="B176" s="40" t="s">
        <v>270</v>
      </c>
      <c r="C176" s="45">
        <v>85301463</v>
      </c>
      <c r="E176" s="40"/>
      <c r="F176" s="45"/>
      <c r="G176" s="69"/>
      <c r="H176" s="40"/>
      <c r="I176" s="98"/>
      <c r="J176" s="69"/>
      <c r="K176" s="40"/>
      <c r="L176" s="98"/>
      <c r="N176" s="40"/>
      <c r="O176" s="98"/>
      <c r="Q176" s="40"/>
      <c r="R176" s="98"/>
      <c r="T176" s="40"/>
      <c r="U176" s="98"/>
      <c r="W176" s="40"/>
      <c r="X176" s="98"/>
      <c r="Z176" s="40"/>
      <c r="AA176" s="98"/>
      <c r="AC176" s="40"/>
      <c r="AD176" s="98"/>
    </row>
    <row r="177" spans="1:30" x14ac:dyDescent="0.25">
      <c r="A177" s="93" t="s">
        <v>909</v>
      </c>
      <c r="B177" s="40" t="s">
        <v>363</v>
      </c>
      <c r="C177" s="45">
        <v>71450747</v>
      </c>
      <c r="E177" s="40"/>
      <c r="F177" s="45"/>
      <c r="G177" s="69"/>
      <c r="H177" s="40"/>
      <c r="I177" s="98"/>
      <c r="J177" s="69"/>
      <c r="K177" s="40"/>
      <c r="L177" s="98"/>
      <c r="N177" s="40"/>
      <c r="O177" s="98"/>
      <c r="Q177" s="40"/>
      <c r="R177" s="98"/>
      <c r="T177" s="40"/>
      <c r="U177" s="98"/>
      <c r="W177" s="40"/>
      <c r="X177" s="98"/>
      <c r="Z177" s="40"/>
      <c r="AA177" s="98"/>
      <c r="AC177" s="40"/>
      <c r="AD177" s="98"/>
    </row>
    <row r="178" spans="1:30" x14ac:dyDescent="0.25">
      <c r="A178" s="93" t="s">
        <v>908</v>
      </c>
      <c r="B178" s="40" t="s">
        <v>175</v>
      </c>
      <c r="C178" s="45">
        <v>69798436</v>
      </c>
      <c r="E178" s="40"/>
      <c r="F178" s="45"/>
      <c r="G178" s="69"/>
      <c r="H178" s="40"/>
      <c r="I178" s="98"/>
      <c r="J178" s="69"/>
      <c r="K178" s="40"/>
      <c r="L178" s="98"/>
      <c r="N178" s="40"/>
      <c r="O178" s="98"/>
      <c r="Q178" s="40"/>
      <c r="R178" s="98"/>
      <c r="T178" s="40"/>
      <c r="U178" s="98"/>
      <c r="W178" s="40"/>
      <c r="X178" s="98"/>
      <c r="Z178" s="40"/>
      <c r="AA178" s="98"/>
      <c r="AC178" s="40"/>
      <c r="AD178" s="98"/>
    </row>
    <row r="179" spans="1:30" x14ac:dyDescent="0.25">
      <c r="A179" s="93" t="s">
        <v>907</v>
      </c>
      <c r="B179" s="40" t="s">
        <v>356</v>
      </c>
      <c r="C179" s="45">
        <v>68327360</v>
      </c>
      <c r="E179" s="40"/>
      <c r="F179" s="45"/>
      <c r="G179" s="69"/>
      <c r="H179" s="40"/>
      <c r="I179" s="98"/>
      <c r="J179" s="69"/>
      <c r="K179" s="40"/>
      <c r="L179" s="98"/>
      <c r="N179" s="40"/>
      <c r="O179" s="98"/>
      <c r="Q179" s="40"/>
      <c r="R179" s="98"/>
      <c r="T179" s="40"/>
      <c r="U179" s="98"/>
      <c r="W179" s="40"/>
      <c r="X179" s="98"/>
      <c r="Z179" s="40"/>
      <c r="AA179" s="98"/>
      <c r="AC179" s="40"/>
      <c r="AD179" s="98"/>
    </row>
    <row r="180" spans="1:30" x14ac:dyDescent="0.25">
      <c r="A180" s="93" t="s">
        <v>906</v>
      </c>
      <c r="B180" s="40" t="s">
        <v>347</v>
      </c>
      <c r="C180" s="45">
        <v>60785657</v>
      </c>
      <c r="E180" s="40"/>
      <c r="F180" s="45"/>
      <c r="G180" s="69"/>
      <c r="H180" s="40"/>
      <c r="I180" s="98"/>
      <c r="J180" s="69"/>
      <c r="K180" s="40"/>
      <c r="L180" s="98"/>
      <c r="N180" s="40"/>
      <c r="O180" s="98"/>
      <c r="Q180" s="40"/>
      <c r="R180" s="98"/>
      <c r="T180" s="40"/>
      <c r="U180" s="98"/>
      <c r="W180" s="40"/>
      <c r="X180" s="98"/>
      <c r="Z180" s="40"/>
      <c r="AA180" s="98"/>
      <c r="AC180" s="40"/>
      <c r="AD180" s="98"/>
    </row>
    <row r="181" spans="1:30" x14ac:dyDescent="0.25">
      <c r="A181" s="93" t="s">
        <v>905</v>
      </c>
      <c r="B181" s="40" t="s">
        <v>115</v>
      </c>
      <c r="C181" s="45">
        <v>35611280</v>
      </c>
      <c r="E181" s="40"/>
      <c r="F181" s="45"/>
      <c r="G181" s="69"/>
      <c r="H181" s="40"/>
      <c r="I181" s="98"/>
      <c r="J181" s="69"/>
      <c r="K181" s="40"/>
      <c r="L181" s="98"/>
      <c r="N181" s="40"/>
      <c r="O181" s="98"/>
      <c r="Q181" s="40"/>
      <c r="R181" s="98"/>
      <c r="T181" s="40"/>
      <c r="U181" s="98"/>
      <c r="W181" s="40"/>
      <c r="X181" s="98"/>
      <c r="Z181" s="40"/>
      <c r="AA181" s="98"/>
      <c r="AC181" s="40"/>
      <c r="AD181" s="98"/>
    </row>
    <row r="182" spans="1:30" x14ac:dyDescent="0.25">
      <c r="A182" s="93" t="s">
        <v>904</v>
      </c>
      <c r="B182" s="40" t="s">
        <v>233</v>
      </c>
      <c r="C182" s="45">
        <v>30071427</v>
      </c>
      <c r="E182" s="40"/>
      <c r="F182" s="45"/>
      <c r="G182" s="69"/>
      <c r="H182" s="40"/>
      <c r="I182" s="98"/>
      <c r="J182" s="69"/>
      <c r="K182" s="40"/>
      <c r="L182" s="98"/>
      <c r="N182" s="40"/>
      <c r="O182" s="98"/>
      <c r="Q182" s="40"/>
      <c r="R182" s="98"/>
      <c r="T182" s="40"/>
      <c r="U182" s="98"/>
      <c r="W182" s="40"/>
      <c r="X182" s="98"/>
      <c r="Z182" s="40"/>
      <c r="AA182" s="98"/>
      <c r="AC182" s="40"/>
      <c r="AD182" s="98"/>
    </row>
    <row r="183" spans="1:30" x14ac:dyDescent="0.25">
      <c r="A183" s="93" t="s">
        <v>903</v>
      </c>
      <c r="B183" s="40" t="s">
        <v>325</v>
      </c>
      <c r="C183" s="45">
        <v>9445036</v>
      </c>
      <c r="E183" s="40"/>
      <c r="F183" s="45"/>
      <c r="G183" s="69"/>
      <c r="H183" s="40"/>
      <c r="I183" s="98"/>
      <c r="J183" s="69"/>
      <c r="K183" s="40"/>
      <c r="L183" s="98"/>
      <c r="N183" s="40"/>
      <c r="O183" s="98"/>
      <c r="Q183" s="40"/>
      <c r="R183" s="98"/>
      <c r="T183" s="40"/>
      <c r="U183" s="98"/>
      <c r="W183" s="40"/>
      <c r="X183" s="98"/>
      <c r="Z183" s="40"/>
      <c r="AA183" s="98"/>
      <c r="AC183" s="40"/>
      <c r="AD183" s="98"/>
    </row>
    <row r="184" spans="1:30" x14ac:dyDescent="0.25">
      <c r="A184" s="93" t="s">
        <v>902</v>
      </c>
      <c r="B184" s="40" t="s">
        <v>155</v>
      </c>
      <c r="C184" s="45">
        <v>219688</v>
      </c>
      <c r="E184" s="40"/>
      <c r="F184" s="45"/>
      <c r="G184" s="69"/>
      <c r="H184" s="40"/>
      <c r="I184" s="98"/>
      <c r="J184" s="69"/>
      <c r="K184" s="40"/>
      <c r="L184" s="98"/>
      <c r="N184" s="40"/>
      <c r="O184" s="98"/>
      <c r="Q184" s="40"/>
      <c r="R184" s="98"/>
      <c r="T184" s="40"/>
      <c r="U184" s="98"/>
      <c r="W184" s="40"/>
      <c r="X184" s="98"/>
      <c r="Z184" s="40"/>
      <c r="AA184" s="98"/>
      <c r="AC184" s="40"/>
      <c r="AD184" s="98"/>
    </row>
    <row r="185" spans="1:30" x14ac:dyDescent="0.25">
      <c r="A185" s="93" t="s">
        <v>901</v>
      </c>
      <c r="B185" s="40"/>
      <c r="C185" s="45"/>
      <c r="E185" s="40"/>
      <c r="F185" s="45"/>
      <c r="G185" s="69"/>
      <c r="H185" s="40"/>
      <c r="I185" s="98"/>
      <c r="J185" s="69"/>
      <c r="K185" s="40"/>
      <c r="L185" s="98"/>
      <c r="N185" s="40"/>
      <c r="O185" s="98"/>
      <c r="Q185" s="40"/>
      <c r="R185" s="98"/>
      <c r="T185" s="40"/>
      <c r="U185" s="98"/>
      <c r="W185" s="40"/>
      <c r="X185" s="98"/>
      <c r="Z185" s="40"/>
      <c r="AA185" s="98"/>
      <c r="AC185" s="40"/>
      <c r="AD185" s="98"/>
    </row>
    <row r="186" spans="1:30" x14ac:dyDescent="0.25">
      <c r="A186" s="93" t="s">
        <v>900</v>
      </c>
      <c r="B186" s="40"/>
      <c r="C186" s="45"/>
      <c r="E186" s="40"/>
      <c r="F186" s="45"/>
      <c r="G186" s="69"/>
      <c r="H186" s="40"/>
      <c r="I186" s="98"/>
      <c r="J186" s="69"/>
      <c r="K186" s="40"/>
      <c r="L186" s="98"/>
      <c r="N186" s="40"/>
      <c r="O186" s="98"/>
      <c r="Q186" s="40"/>
      <c r="R186" s="98"/>
      <c r="T186" s="40"/>
      <c r="U186" s="98"/>
      <c r="W186" s="40"/>
      <c r="X186" s="98"/>
      <c r="Z186" s="40"/>
      <c r="AA186" s="98"/>
      <c r="AC186" s="40"/>
      <c r="AD186" s="98"/>
    </row>
    <row r="187" spans="1:30" x14ac:dyDescent="0.25">
      <c r="A187" s="93" t="s">
        <v>899</v>
      </c>
      <c r="B187" s="40"/>
      <c r="C187" s="45"/>
      <c r="E187" s="40"/>
      <c r="F187" s="45"/>
      <c r="G187" s="69"/>
      <c r="H187" s="40"/>
      <c r="I187" s="98"/>
      <c r="J187" s="69"/>
      <c r="K187" s="40"/>
      <c r="L187" s="98"/>
      <c r="N187" s="40"/>
      <c r="O187" s="98"/>
      <c r="Q187" s="40"/>
      <c r="R187" s="98"/>
      <c r="T187" s="40"/>
      <c r="U187" s="98"/>
      <c r="W187" s="40"/>
      <c r="X187" s="98"/>
      <c r="Z187" s="40"/>
      <c r="AA187" s="98"/>
      <c r="AC187" s="40"/>
      <c r="AD187" s="98"/>
    </row>
    <row r="188" spans="1:30" x14ac:dyDescent="0.25">
      <c r="A188" s="93" t="s">
        <v>898</v>
      </c>
      <c r="B188" s="40"/>
      <c r="C188" s="45"/>
      <c r="E188" s="40"/>
      <c r="F188" s="45"/>
      <c r="G188" s="69"/>
      <c r="H188" s="40"/>
      <c r="I188" s="98"/>
      <c r="J188" s="69"/>
      <c r="K188" s="40"/>
      <c r="L188" s="98"/>
      <c r="N188" s="40"/>
      <c r="O188" s="98"/>
      <c r="Q188" s="40"/>
      <c r="R188" s="98"/>
      <c r="T188" s="40"/>
      <c r="U188" s="98"/>
      <c r="W188" s="40"/>
      <c r="X188" s="98"/>
      <c r="Z188" s="40"/>
      <c r="AA188" s="98"/>
      <c r="AC188" s="40"/>
      <c r="AD188" s="98"/>
    </row>
    <row r="189" spans="1:30" x14ac:dyDescent="0.25">
      <c r="A189" s="93" t="s">
        <v>897</v>
      </c>
      <c r="B189" s="40"/>
      <c r="C189" s="45"/>
      <c r="E189" s="40"/>
      <c r="F189" s="45"/>
      <c r="G189" s="69"/>
      <c r="H189" s="40"/>
      <c r="I189" s="98"/>
      <c r="J189" s="69"/>
      <c r="K189" s="40"/>
      <c r="L189" s="98"/>
      <c r="N189" s="40"/>
      <c r="O189" s="98"/>
      <c r="Q189" s="40"/>
      <c r="R189" s="98"/>
      <c r="T189" s="40"/>
      <c r="U189" s="98"/>
      <c r="W189" s="40"/>
      <c r="X189" s="98"/>
      <c r="Z189" s="40"/>
      <c r="AA189" s="98"/>
      <c r="AC189" s="40"/>
      <c r="AD189" s="98"/>
    </row>
    <row r="190" spans="1:30" x14ac:dyDescent="0.25">
      <c r="A190" s="93" t="s">
        <v>896</v>
      </c>
      <c r="B190" s="40"/>
      <c r="C190" s="45"/>
      <c r="E190" s="40"/>
      <c r="F190" s="45"/>
      <c r="G190" s="69"/>
      <c r="H190" s="40"/>
      <c r="I190" s="98"/>
      <c r="J190" s="69"/>
      <c r="K190" s="40"/>
      <c r="L190" s="98"/>
      <c r="N190" s="40"/>
      <c r="O190" s="98"/>
      <c r="Q190" s="40"/>
      <c r="R190" s="98"/>
      <c r="T190" s="40"/>
      <c r="U190" s="98"/>
      <c r="W190" s="40"/>
      <c r="X190" s="98"/>
      <c r="Z190" s="40"/>
      <c r="AA190" s="98"/>
      <c r="AC190" s="40"/>
      <c r="AD190" s="98"/>
    </row>
    <row r="191" spans="1:30" x14ac:dyDescent="0.25">
      <c r="A191" s="93" t="s">
        <v>895</v>
      </c>
      <c r="B191" s="40"/>
      <c r="C191" s="45"/>
      <c r="E191" s="40"/>
      <c r="F191" s="45"/>
      <c r="G191" s="69"/>
      <c r="H191" s="40"/>
      <c r="I191" s="98"/>
      <c r="J191" s="69"/>
      <c r="K191" s="40"/>
      <c r="L191" s="98"/>
      <c r="N191" s="40"/>
      <c r="O191" s="98"/>
      <c r="Q191" s="40"/>
      <c r="R191" s="98"/>
      <c r="T191" s="40"/>
      <c r="U191" s="98"/>
      <c r="W191" s="40"/>
      <c r="X191" s="98"/>
      <c r="Z191" s="40"/>
      <c r="AA191" s="98"/>
      <c r="AC191" s="40"/>
      <c r="AD191" s="98"/>
    </row>
    <row r="192" spans="1:30" x14ac:dyDescent="0.25">
      <c r="A192" s="93" t="s">
        <v>894</v>
      </c>
      <c r="B192" s="40"/>
      <c r="C192" s="45"/>
      <c r="E192" s="40"/>
      <c r="F192" s="45"/>
      <c r="G192" s="69"/>
      <c r="H192" s="40"/>
      <c r="I192" s="98"/>
      <c r="J192" s="69"/>
      <c r="K192" s="40"/>
      <c r="L192" s="98"/>
      <c r="N192" s="40"/>
      <c r="O192" s="98"/>
      <c r="Q192" s="40"/>
      <c r="R192" s="98"/>
      <c r="T192" s="40"/>
      <c r="U192" s="98"/>
      <c r="W192" s="40"/>
      <c r="X192" s="98"/>
      <c r="Z192" s="40"/>
      <c r="AA192" s="98"/>
      <c r="AC192" s="40"/>
      <c r="AD192" s="98"/>
    </row>
    <row r="193" spans="1:30" x14ac:dyDescent="0.25">
      <c r="A193" s="93" t="s">
        <v>893</v>
      </c>
      <c r="B193" s="40"/>
      <c r="C193" s="45"/>
      <c r="E193" s="40"/>
      <c r="F193" s="45"/>
      <c r="G193" s="69"/>
      <c r="H193" s="40"/>
      <c r="I193" s="98"/>
      <c r="J193" s="69"/>
      <c r="K193" s="40"/>
      <c r="L193" s="98"/>
      <c r="N193" s="40"/>
      <c r="O193" s="98"/>
      <c r="Q193" s="40"/>
      <c r="R193" s="98"/>
      <c r="T193" s="40"/>
      <c r="U193" s="98"/>
      <c r="W193" s="40"/>
      <c r="X193" s="98"/>
      <c r="Z193" s="40"/>
      <c r="AA193" s="98"/>
      <c r="AC193" s="40"/>
      <c r="AD193" s="98"/>
    </row>
    <row r="194" spans="1:30" x14ac:dyDescent="0.25">
      <c r="A194" s="93" t="s">
        <v>892</v>
      </c>
      <c r="B194" s="40"/>
      <c r="C194" s="45"/>
      <c r="E194" s="40"/>
      <c r="F194" s="45"/>
      <c r="G194" s="69"/>
      <c r="H194" s="40"/>
      <c r="I194" s="98"/>
      <c r="J194" s="69"/>
      <c r="K194" s="40"/>
      <c r="L194" s="98"/>
      <c r="N194" s="40"/>
      <c r="O194" s="98"/>
      <c r="Q194" s="40"/>
      <c r="R194" s="98"/>
      <c r="T194" s="40"/>
      <c r="U194" s="98"/>
      <c r="W194" s="40"/>
      <c r="X194" s="98"/>
      <c r="Z194" s="40"/>
      <c r="AA194" s="98"/>
      <c r="AC194" s="40"/>
      <c r="AD194" s="98"/>
    </row>
    <row r="195" spans="1:30" x14ac:dyDescent="0.25">
      <c r="A195" s="93" t="s">
        <v>891</v>
      </c>
      <c r="B195" s="40"/>
      <c r="C195" s="45"/>
      <c r="E195" s="40"/>
      <c r="F195" s="45"/>
      <c r="G195" s="69"/>
      <c r="H195" s="40"/>
      <c r="I195" s="98"/>
      <c r="J195" s="69"/>
      <c r="K195" s="40"/>
      <c r="L195" s="98"/>
      <c r="N195" s="40"/>
      <c r="O195" s="98"/>
      <c r="Q195" s="40"/>
      <c r="R195" s="98"/>
      <c r="T195" s="40"/>
      <c r="U195" s="98"/>
      <c r="W195" s="40"/>
      <c r="X195" s="98"/>
      <c r="Z195" s="40"/>
      <c r="AA195" s="98"/>
      <c r="AC195" s="40"/>
      <c r="AD195" s="98"/>
    </row>
    <row r="196" spans="1:30" x14ac:dyDescent="0.25">
      <c r="A196" s="93" t="s">
        <v>890</v>
      </c>
      <c r="B196" s="40"/>
      <c r="C196" s="45"/>
      <c r="E196" s="40"/>
      <c r="F196" s="45"/>
      <c r="G196" s="69"/>
      <c r="H196" s="40"/>
      <c r="I196" s="98"/>
      <c r="J196" s="69"/>
      <c r="K196" s="40"/>
      <c r="L196" s="98"/>
      <c r="N196" s="40"/>
      <c r="O196" s="98"/>
      <c r="Q196" s="40"/>
      <c r="R196" s="98"/>
      <c r="T196" s="40"/>
      <c r="U196" s="98"/>
      <c r="W196" s="40"/>
      <c r="X196" s="98"/>
      <c r="Z196" s="40"/>
      <c r="AA196" s="98"/>
      <c r="AC196" s="40"/>
      <c r="AD196" s="98"/>
    </row>
    <row r="197" spans="1:30" x14ac:dyDescent="0.25">
      <c r="A197" s="93" t="s">
        <v>889</v>
      </c>
      <c r="B197" s="17" t="s">
        <v>20</v>
      </c>
      <c r="C197" s="45">
        <v>0</v>
      </c>
      <c r="E197" s="17" t="s">
        <v>20</v>
      </c>
      <c r="F197" s="45"/>
      <c r="G197" s="69"/>
      <c r="H197" s="17" t="s">
        <v>20</v>
      </c>
      <c r="I197" s="98"/>
      <c r="J197" s="69"/>
      <c r="K197" s="17" t="s">
        <v>20</v>
      </c>
      <c r="L197" s="98"/>
      <c r="N197" s="17" t="s">
        <v>20</v>
      </c>
      <c r="O197" s="98"/>
      <c r="Q197" s="17" t="s">
        <v>20</v>
      </c>
      <c r="R197" s="98"/>
      <c r="T197" s="17" t="s">
        <v>20</v>
      </c>
      <c r="U197" s="98"/>
      <c r="W197" s="17" t="s">
        <v>20</v>
      </c>
      <c r="X197" s="98"/>
      <c r="Z197" s="17" t="s">
        <v>20</v>
      </c>
      <c r="AA197" s="98"/>
      <c r="AC197" s="17" t="s">
        <v>20</v>
      </c>
      <c r="AD197" s="98"/>
    </row>
    <row r="198" spans="1:30" ht="15.75" thickBot="1" x14ac:dyDescent="0.3">
      <c r="B198" s="23" t="s">
        <v>31</v>
      </c>
      <c r="C198" s="57">
        <f>IFERROR(SUM(C167:C197),"")</f>
        <v>15791572078</v>
      </c>
      <c r="E198" s="23" t="s">
        <v>31</v>
      </c>
      <c r="F198" s="57">
        <f>IFERROR(SUM(F167:F197),"")</f>
        <v>0</v>
      </c>
      <c r="G198" s="69"/>
      <c r="H198" s="23" t="s">
        <v>31</v>
      </c>
      <c r="I198" s="57">
        <f>IFERROR(SUM(I167:I197),"")</f>
        <v>0</v>
      </c>
      <c r="J198" s="69"/>
      <c r="K198" s="23" t="s">
        <v>31</v>
      </c>
      <c r="L198" s="57">
        <f>IFERROR(SUM(L167:L197),"")</f>
        <v>0</v>
      </c>
      <c r="N198" s="23" t="s">
        <v>31</v>
      </c>
      <c r="O198" s="57">
        <f>IFERROR(SUM(O167:O197),"")</f>
        <v>0</v>
      </c>
      <c r="Q198" s="23" t="s">
        <v>31</v>
      </c>
      <c r="R198" s="57">
        <f>IFERROR(SUM(R167:R197),"")</f>
        <v>0</v>
      </c>
      <c r="T198" s="23" t="s">
        <v>31</v>
      </c>
      <c r="U198" s="57">
        <f>IFERROR(SUM(U167:U197),"")</f>
        <v>0</v>
      </c>
      <c r="W198" s="23" t="s">
        <v>31</v>
      </c>
      <c r="X198" s="57">
        <f>IFERROR(SUM(X167:X197),"")</f>
        <v>0</v>
      </c>
      <c r="Z198" s="23" t="s">
        <v>31</v>
      </c>
      <c r="AA198" s="57">
        <f>IFERROR(SUM(AA167:AA197),"")</f>
        <v>0</v>
      </c>
      <c r="AC198" s="23" t="s">
        <v>31</v>
      </c>
      <c r="AD198" s="57">
        <f>IFERROR(SUM(AD167:AD197),"")</f>
        <v>0</v>
      </c>
    </row>
    <row r="200" spans="1:30" x14ac:dyDescent="0.25">
      <c r="B200" s="75"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5 C8 C20 C34"/>
    <dataValidation allowBlank="1" showErrorMessage="1" prompt="Values do not add up to Cover Pool Balance" sqref="C21:C22 C19 C26:C30"/>
    <dataValidation allowBlank="1" showErrorMessage="1" prompt="Values do not add up to Covered Bonds Balance" sqref="C38:C39 C43: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C4 B42:B46</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Lists!$C$22:$C$25</xm:f>
          </x14:formula1>
          <xm:sqref>D73:D110</xm:sqref>
        </x14:dataValidation>
        <x14:dataValidation type="list" allowBlank="1" showErrorMessage="1">
          <x14:formula1>
            <xm:f>Lists!$C$14:$C$15</xm:f>
          </x14:formula1>
          <xm:sqref>AA133 AD133 C133 F133 I133 L133 O133 R133 U133 X133</xm:sqref>
        </x14:dataValidation>
        <x14:dataValidation type="list" allowBlank="1" showErrorMessage="1">
          <x14:formula1>
            <xm:f>Lists!$G$2:$XFD$2</xm:f>
          </x14:formula1>
          <xm:sqref>B144:B153 AC144:AC153 Z144:Z153 W144:W153 T144:T153 Q144:Q153 N144:N153 K144:K153 H144:H153 E144:E153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1"/>
  <sheetViews>
    <sheetView topLeftCell="A20" workbookViewId="0">
      <selection activeCell="E29" sqref="E29"/>
    </sheetView>
  </sheetViews>
  <sheetFormatPr baseColWidth="10"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108" t="s">
        <v>48</v>
      </c>
      <c r="C5" s="109" t="s">
        <v>958</v>
      </c>
    </row>
    <row r="6" spans="2:3" x14ac:dyDescent="0.25">
      <c r="B6" s="110" t="s">
        <v>50</v>
      </c>
      <c r="C6" s="111" t="s">
        <v>963</v>
      </c>
    </row>
    <row r="7" spans="2:3" x14ac:dyDescent="0.25">
      <c r="B7" s="110" t="s">
        <v>960</v>
      </c>
      <c r="C7" s="111" t="s">
        <v>959</v>
      </c>
    </row>
    <row r="8" spans="2:3" x14ac:dyDescent="0.25">
      <c r="B8" s="110" t="s">
        <v>55</v>
      </c>
      <c r="C8" s="111" t="s">
        <v>961</v>
      </c>
    </row>
    <row r="9" spans="2:3" x14ac:dyDescent="0.25">
      <c r="B9" s="110" t="s">
        <v>2</v>
      </c>
      <c r="C9" s="111" t="s">
        <v>606</v>
      </c>
    </row>
    <row r="10" spans="2:3" x14ac:dyDescent="0.25">
      <c r="B10" s="112" t="s">
        <v>493</v>
      </c>
      <c r="C10" s="111" t="s">
        <v>941</v>
      </c>
    </row>
    <row r="11" spans="2:3" x14ac:dyDescent="0.25">
      <c r="B11" s="112" t="s">
        <v>47</v>
      </c>
      <c r="C11" s="111" t="s">
        <v>964</v>
      </c>
    </row>
    <row r="12" spans="2:3" x14ac:dyDescent="0.25">
      <c r="B12" s="112" t="s">
        <v>46</v>
      </c>
      <c r="C12" s="111" t="s">
        <v>965</v>
      </c>
    </row>
    <row r="13" spans="2:3" x14ac:dyDescent="0.25">
      <c r="B13" s="112" t="s">
        <v>962</v>
      </c>
      <c r="C13" s="111" t="s">
        <v>966</v>
      </c>
    </row>
    <row r="14" spans="2:3" x14ac:dyDescent="0.25">
      <c r="B14" s="112" t="s">
        <v>969</v>
      </c>
      <c r="C14" s="111" t="s">
        <v>968</v>
      </c>
    </row>
    <row r="15" spans="2:3" x14ac:dyDescent="0.25">
      <c r="B15" s="112" t="s">
        <v>971</v>
      </c>
      <c r="C15" s="111" t="s">
        <v>970</v>
      </c>
    </row>
    <row r="16" spans="2:3" ht="24" x14ac:dyDescent="0.25">
      <c r="B16" s="112" t="s">
        <v>17</v>
      </c>
      <c r="C16" s="111" t="s">
        <v>972</v>
      </c>
    </row>
    <row r="17" spans="2:3" ht="36" x14ac:dyDescent="0.25">
      <c r="B17" s="112" t="s">
        <v>973</v>
      </c>
      <c r="C17" s="111" t="s">
        <v>974</v>
      </c>
    </row>
    <row r="18" spans="2:3" ht="24" x14ac:dyDescent="0.25">
      <c r="B18" s="112" t="s">
        <v>976</v>
      </c>
      <c r="C18" s="111" t="s">
        <v>975</v>
      </c>
    </row>
    <row r="19" spans="2:3" x14ac:dyDescent="0.25">
      <c r="B19" s="112" t="s">
        <v>413</v>
      </c>
      <c r="C19" s="111" t="s">
        <v>977</v>
      </c>
    </row>
    <row r="20" spans="2:3" x14ac:dyDescent="0.25">
      <c r="B20" s="112" t="s">
        <v>487</v>
      </c>
      <c r="C20" s="111" t="s">
        <v>608</v>
      </c>
    </row>
    <row r="21" spans="2:3" ht="24" x14ac:dyDescent="0.25">
      <c r="B21" s="112" t="s">
        <v>979</v>
      </c>
      <c r="C21" s="111" t="s">
        <v>978</v>
      </c>
    </row>
    <row r="22" spans="2:3" ht="24" x14ac:dyDescent="0.25">
      <c r="B22" s="112" t="s">
        <v>981</v>
      </c>
      <c r="C22" s="111" t="s">
        <v>980</v>
      </c>
    </row>
    <row r="23" spans="2:3" ht="24" x14ac:dyDescent="0.25">
      <c r="B23" s="112" t="s">
        <v>983</v>
      </c>
      <c r="C23" s="111" t="s">
        <v>982</v>
      </c>
    </row>
    <row r="24" spans="2:3" x14ac:dyDescent="0.25">
      <c r="B24" s="112" t="s">
        <v>558</v>
      </c>
      <c r="C24" s="111" t="s">
        <v>609</v>
      </c>
    </row>
    <row r="25" spans="2:3" x14ac:dyDescent="0.25">
      <c r="B25" s="112" t="s">
        <v>4</v>
      </c>
      <c r="C25" s="111" t="s">
        <v>984</v>
      </c>
    </row>
    <row r="26" spans="2:3" x14ac:dyDescent="0.25">
      <c r="B26" s="112" t="s">
        <v>38</v>
      </c>
      <c r="C26" s="111" t="s">
        <v>985</v>
      </c>
    </row>
    <row r="27" spans="2:3" ht="24" x14ac:dyDescent="0.25">
      <c r="B27" s="110" t="s">
        <v>954</v>
      </c>
      <c r="C27" s="111" t="s">
        <v>986</v>
      </c>
    </row>
    <row r="28" spans="2:3" ht="24" x14ac:dyDescent="0.25">
      <c r="B28" s="112" t="s">
        <v>943</v>
      </c>
      <c r="C28" s="111" t="s">
        <v>987</v>
      </c>
    </row>
    <row r="29" spans="2:3" ht="36" x14ac:dyDescent="0.25">
      <c r="B29" s="112" t="s">
        <v>37</v>
      </c>
      <c r="C29" s="111" t="s">
        <v>942</v>
      </c>
    </row>
    <row r="30" spans="2:3" ht="24" x14ac:dyDescent="0.25">
      <c r="B30" s="112" t="s">
        <v>989</v>
      </c>
      <c r="C30" s="111" t="s">
        <v>988</v>
      </c>
    </row>
    <row r="31" spans="2:3" x14ac:dyDescent="0.25">
      <c r="B31" s="112" t="s">
        <v>410</v>
      </c>
      <c r="C31" s="111" t="s">
        <v>990</v>
      </c>
    </row>
    <row r="32" spans="2:3" ht="24" x14ac:dyDescent="0.25">
      <c r="B32" s="112" t="s">
        <v>411</v>
      </c>
      <c r="C32" s="111" t="s">
        <v>991</v>
      </c>
    </row>
    <row r="33" spans="2:3" ht="24" x14ac:dyDescent="0.25">
      <c r="B33" s="112" t="s">
        <v>992</v>
      </c>
      <c r="C33" s="111" t="s">
        <v>993</v>
      </c>
    </row>
    <row r="34" spans="2:3" x14ac:dyDescent="0.25">
      <c r="B34" s="112" t="s">
        <v>39</v>
      </c>
      <c r="C34" s="111" t="s">
        <v>994</v>
      </c>
    </row>
    <row r="35" spans="2:3" x14ac:dyDescent="0.25">
      <c r="B35" s="112" t="s">
        <v>36</v>
      </c>
      <c r="C35" s="111" t="s">
        <v>607</v>
      </c>
    </row>
    <row r="36" spans="2:3" x14ac:dyDescent="0.25">
      <c r="B36" s="112" t="s">
        <v>53</v>
      </c>
      <c r="C36" s="111" t="s">
        <v>995</v>
      </c>
    </row>
    <row r="37" spans="2:3" x14ac:dyDescent="0.25">
      <c r="B37" s="112" t="s">
        <v>997</v>
      </c>
      <c r="C37" s="111" t="s">
        <v>996</v>
      </c>
    </row>
    <row r="38" spans="2:3" x14ac:dyDescent="0.25">
      <c r="B38" s="112" t="s">
        <v>999</v>
      </c>
      <c r="C38" s="111" t="s">
        <v>998</v>
      </c>
    </row>
    <row r="39" spans="2:3" x14ac:dyDescent="0.25">
      <c r="B39" s="112" t="s">
        <v>54</v>
      </c>
      <c r="C39" s="111" t="s">
        <v>1001</v>
      </c>
    </row>
    <row r="40" spans="2:3" x14ac:dyDescent="0.25">
      <c r="B40" s="112" t="s">
        <v>52</v>
      </c>
      <c r="C40" s="111" t="s">
        <v>1000</v>
      </c>
    </row>
    <row r="41" spans="2:3" ht="24" x14ac:dyDescent="0.25">
      <c r="B41" s="112" t="s">
        <v>610</v>
      </c>
      <c r="C41" s="111" t="s">
        <v>1002</v>
      </c>
    </row>
    <row r="42" spans="2:3" x14ac:dyDescent="0.25">
      <c r="B42" s="112" t="s">
        <v>49</v>
      </c>
      <c r="C42" s="111" t="s">
        <v>1003</v>
      </c>
    </row>
    <row r="43" spans="2:3" x14ac:dyDescent="0.25">
      <c r="B43" s="112" t="s">
        <v>412</v>
      </c>
      <c r="C43" s="111" t="s">
        <v>1004</v>
      </c>
    </row>
    <row r="44" spans="2:3" x14ac:dyDescent="0.25">
      <c r="B44" s="112" t="s">
        <v>34</v>
      </c>
      <c r="C44" s="111" t="s">
        <v>1005</v>
      </c>
    </row>
    <row r="45" spans="2:3" x14ac:dyDescent="0.25">
      <c r="B45" s="112" t="s">
        <v>1007</v>
      </c>
      <c r="C45" s="111" t="s">
        <v>1006</v>
      </c>
    </row>
    <row r="46" spans="2:3" x14ac:dyDescent="0.25">
      <c r="B46" s="112" t="s">
        <v>28</v>
      </c>
      <c r="C46" s="111" t="s">
        <v>1008</v>
      </c>
    </row>
    <row r="47" spans="2:3" ht="24" x14ac:dyDescent="0.25">
      <c r="B47" s="112" t="s">
        <v>1009</v>
      </c>
      <c r="C47" s="111" t="s">
        <v>1010</v>
      </c>
    </row>
    <row r="48" spans="2:3" x14ac:dyDescent="0.25">
      <c r="B48" s="112" t="s">
        <v>557</v>
      </c>
      <c r="C48" s="111" t="s">
        <v>611</v>
      </c>
    </row>
    <row r="49" spans="2:3" x14ac:dyDescent="0.25">
      <c r="B49" s="112" t="s">
        <v>565</v>
      </c>
      <c r="C49" s="111" t="s">
        <v>945</v>
      </c>
    </row>
    <row r="50" spans="2:3" x14ac:dyDescent="0.25">
      <c r="B50" s="112" t="s">
        <v>9</v>
      </c>
      <c r="C50" s="111" t="s">
        <v>940</v>
      </c>
    </row>
    <row r="51" spans="2:3" ht="24.75" thickBot="1" x14ac:dyDescent="0.3">
      <c r="B51" s="113" t="s">
        <v>23</v>
      </c>
      <c r="C51" s="114"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37" sqref="C37"/>
    </sheetView>
  </sheetViews>
  <sheetFormatPr baseColWidth="10"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C17" t="s">
        <v>559</v>
      </c>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560</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561</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C21" t="s">
        <v>592</v>
      </c>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593</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594</v>
      </c>
      <c r="E23" t="s">
        <v>406</v>
      </c>
      <c r="J23" t="s">
        <v>673</v>
      </c>
      <c r="Q23" t="s">
        <v>124</v>
      </c>
      <c r="R23" t="s">
        <v>376</v>
      </c>
      <c r="U23" t="s">
        <v>377</v>
      </c>
      <c r="W23" t="s">
        <v>585</v>
      </c>
      <c r="X23" t="s">
        <v>378</v>
      </c>
      <c r="AF23" t="s">
        <v>124</v>
      </c>
      <c r="AL23" t="s">
        <v>629</v>
      </c>
      <c r="AP23" t="s">
        <v>744</v>
      </c>
      <c r="AQ23" t="s">
        <v>76</v>
      </c>
      <c r="AV23" t="s">
        <v>524</v>
      </c>
    </row>
    <row r="24" spans="3:48" x14ac:dyDescent="0.25">
      <c r="C24" t="s">
        <v>595</v>
      </c>
      <c r="E24" t="s">
        <v>407</v>
      </c>
      <c r="J24" t="s">
        <v>675</v>
      </c>
      <c r="Q24" t="s">
        <v>42</v>
      </c>
      <c r="R24" t="s">
        <v>379</v>
      </c>
      <c r="U24" t="s">
        <v>124</v>
      </c>
      <c r="W24" t="s">
        <v>586</v>
      </c>
      <c r="X24" t="s">
        <v>380</v>
      </c>
      <c r="AF24" t="s">
        <v>42</v>
      </c>
      <c r="AL24" t="s">
        <v>647</v>
      </c>
      <c r="AP24" t="s">
        <v>739</v>
      </c>
      <c r="AV24" t="s">
        <v>525</v>
      </c>
    </row>
    <row r="25" spans="3:48" x14ac:dyDescent="0.25">
      <c r="C25" t="s">
        <v>56</v>
      </c>
      <c r="J25" t="s">
        <v>674</v>
      </c>
      <c r="Q25" t="s">
        <v>75</v>
      </c>
      <c r="R25" t="s">
        <v>381</v>
      </c>
      <c r="U25" t="s">
        <v>42</v>
      </c>
      <c r="W25" t="s">
        <v>587</v>
      </c>
      <c r="X25" t="s">
        <v>124</v>
      </c>
      <c r="AF25" t="s">
        <v>72</v>
      </c>
      <c r="AL25" t="s">
        <v>635</v>
      </c>
      <c r="AP25" t="s">
        <v>742</v>
      </c>
      <c r="AV25" t="s">
        <v>526</v>
      </c>
    </row>
    <row r="26" spans="3:48" x14ac:dyDescent="0.25">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V17" sqref="V17"/>
    </sheetView>
  </sheetViews>
  <sheetFormatPr baseColWidth="10"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Kvamme, Vegard</cp:lastModifiedBy>
  <dcterms:created xsi:type="dcterms:W3CDTF">2016-10-04T16:36:40Z</dcterms:created>
  <dcterms:modified xsi:type="dcterms:W3CDTF">2019-06-14T07:44:33Z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